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евраль 2015" sheetId="1" r:id="rId3"/>
    <sheet state="visible" name="иллюстрируем грязный ROI" sheetId="2" r:id="rId4"/>
    <sheet state="visible" name="пример 1" sheetId="3" r:id="rId5"/>
    <sheet state="visible" name="пример 2" sheetId="4" r:id="rId6"/>
  </sheets>
  <definedNames/>
  <calcPr/>
</workbook>
</file>

<file path=xl/sharedStrings.xml><?xml version="1.0" encoding="utf-8"?>
<sst xmlns="http://schemas.openxmlformats.org/spreadsheetml/2006/main" count="255" uniqueCount="84">
  <si>
    <t>Проект</t>
  </si>
  <si>
    <t>ROI</t>
  </si>
  <si>
    <t>Домен</t>
  </si>
  <si>
    <t>Показатель</t>
  </si>
  <si>
    <t>План</t>
  </si>
  <si>
    <t>Факт</t>
  </si>
  <si>
    <t>% выполнения</t>
  </si>
  <si>
    <t>Переходов на сайт</t>
  </si>
  <si>
    <t>Писем с сайта</t>
  </si>
  <si>
    <t>Звонков с сайта</t>
  </si>
  <si>
    <t>Оформлено заказов</t>
  </si>
  <si>
    <t>Продаж, число</t>
  </si>
  <si>
    <t>Продаж, на сумму</t>
  </si>
  <si>
    <t>Прибыль</t>
  </si>
  <si>
    <t>Ресурсы</t>
  </si>
  <si>
    <t>Бюджет, рублей</t>
  </si>
  <si>
    <t>Ход рекламной кампании</t>
  </si>
  <si>
    <t>Первичные данные</t>
  </si>
  <si>
    <t>Аналитика</t>
  </si>
  <si>
    <t>Выводы</t>
  </si>
  <si>
    <t>Цена</t>
  </si>
  <si>
    <t>Канал</t>
  </si>
  <si>
    <t>Бюджет</t>
  </si>
  <si>
    <t>Визитов</t>
  </si>
  <si>
    <t>Писем</t>
  </si>
  <si>
    <t>Звонков</t>
  </si>
  <si>
    <t>Заказов</t>
  </si>
  <si>
    <t>Продаж</t>
  </si>
  <si>
    <t>Сумма</t>
  </si>
  <si>
    <t>визита</t>
  </si>
  <si>
    <t>звонка</t>
  </si>
  <si>
    <t>письма</t>
  </si>
  <si>
    <t>заказа</t>
  </si>
  <si>
    <t>Конверсия</t>
  </si>
  <si>
    <t>% отказов</t>
  </si>
  <si>
    <t>Ср. чек</t>
  </si>
  <si>
    <t>чистый</t>
  </si>
  <si>
    <t>грязный</t>
  </si>
  <si>
    <t>Конверсия, ROI, Ср. чек, % отказа</t>
  </si>
  <si>
    <t>SEO, регион</t>
  </si>
  <si>
    <t>SEO, РФ</t>
  </si>
  <si>
    <t>Контекст, бренд</t>
  </si>
  <si>
    <t>Контекст, товары А</t>
  </si>
  <si>
    <t>Контекст, товары Б</t>
  </si>
  <si>
    <t>Facebook</t>
  </si>
  <si>
    <t>VK</t>
  </si>
  <si>
    <t>Рассылки</t>
  </si>
  <si>
    <t>Прямые заходы</t>
  </si>
  <si>
    <t>Повторные продажи</t>
  </si>
  <si>
    <t>Личные продажи</t>
  </si>
  <si>
    <t>Не распределено</t>
  </si>
  <si>
    <t>ИТОГО</t>
  </si>
  <si>
    <t>Выводы и рекомендации</t>
  </si>
  <si>
    <t>1. Внимательно прочитайте выводы по каждому рекламному каналу. Ваши вопросы вы можете задать специалистам агентства ИНТЕРВОЛГА http://www.intervolga.ru, info@intervolga.ru</t>
  </si>
  <si>
    <t>2. Конверсия и проценты отказа — процессные показатели, на их основании нужно корректировать работу сайта и персонала</t>
  </si>
  <si>
    <t>3. Мы рекомендуем обратить внимание на каналы с наихудшим ROI. Конверсия и проценты отказа — процессные, текущие показатели, а ROI — основа для принятия решений.</t>
  </si>
  <si>
    <t>4. Если у вас больше 50% заказов "не распределено", то есть вы не знаете источник, нужно улучшать этот показатель. Точность анализа низкая</t>
  </si>
  <si>
    <t>Описание модели по ссылке:</t>
  </si>
  <si>
    <t>http://www.intervolga.ru/blog/thoughts/effektivnost-internet-reklamy/</t>
  </si>
  <si>
    <t>Другие наши разработки:</t>
  </si>
  <si>
    <t>(простая, вводите 20 параметров — получаете срок окупаемости). Больше 500 человек уже получили эту модель и воспользовались ей.</t>
  </si>
  <si>
    <t>В статье мы рассказываем о важности определения источника каждой продажи и подводим к идее расчета ROI на основании источников.</t>
  </si>
  <si>
    <t>В статье описан модуль для магазинов на 1С-Битрикс, для определения источника каждой продажи. Модуль установлен на сотнях интернет-магазинов и успешно работает.</t>
  </si>
  <si>
    <t>В этой паре статей мы рассказываем как настроить ваш сайт и системы аналитики, для получения информации об источниках продаж.</t>
  </si>
  <si>
    <t>(сложный, с когортным анализом и расчетом десятков параметров). Калькулятор можно использовать, если собрано много первичных данных.</t>
  </si>
  <si>
    <t>SEO</t>
  </si>
  <si>
    <t>VK.com</t>
  </si>
  <si>
    <t>Контекст</t>
  </si>
  <si>
    <t>товары для дома</t>
  </si>
  <si>
    <t>censored</t>
  </si>
  <si>
    <t>Яндекс.Директ Мск</t>
  </si>
  <si>
    <t>Яндекс.Директ РФ</t>
  </si>
  <si>
    <t>Google Adwords, РФ</t>
  </si>
  <si>
    <t>Wikimart</t>
  </si>
  <si>
    <t>Баннеры</t>
  </si>
  <si>
    <t>Соцсети</t>
  </si>
  <si>
    <t>Внешние сайты</t>
  </si>
  <si>
    <t>бытовая техника</t>
  </si>
  <si>
    <t>cencored</t>
  </si>
  <si>
    <t>seo</t>
  </si>
  <si>
    <t>market.yandex.ru</t>
  </si>
  <si>
    <t>Пульсцен</t>
  </si>
  <si>
    <t>Яндекс.Директ</t>
  </si>
  <si>
    <t>Google.Adwords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</si>
</sst>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sz val="12.0"/>
    </font>
    <font/>
    <font>
      <b/>
    </font>
    <font>
      <u/>
      <color rgb="FF0000FF"/>
    </font>
    <font>
      <sz val="11.0"/>
    </font>
    <font>
      <u/>
      <sz val="11.0"/>
      <color rgb="FF0000FF"/>
    </font>
    <font>
      <u/>
      <sz val="11.0"/>
      <color rgb="FF0000FF"/>
    </font>
    <font>
      <u/>
      <color rgb="FF0000FF"/>
    </font>
    <font>
      <b/>
      <i/>
      <sz val="12.0"/>
    </font>
    <font>
      <sz val="10.0"/>
    </font>
  </fonts>
  <fills count="6">
    <fill>
      <patternFill patternType="none"/>
    </fill>
    <fill>
      <patternFill patternType="lightGray"/>
    </fill>
    <fill>
      <patternFill patternType="solid">
        <fgColor rgb="FFE6B8AF"/>
        <bgColor rgb="FFE6B8AF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Fill="1" applyFont="1"/>
    <xf borderId="0" fillId="3" fontId="1" numFmtId="10" xfId="0" applyFill="1" applyFont="1" applyNumberFormat="1"/>
    <xf borderId="0" fillId="3" fontId="1" numFmtId="0" xfId="0" applyFont="1"/>
    <xf borderId="0" fillId="3" fontId="2" numFmtId="0" xfId="0" applyFont="1"/>
    <xf borderId="0" fillId="0" fontId="3" numFmtId="0" xfId="0" applyAlignment="1" applyFont="1">
      <alignment readingOrder="0"/>
    </xf>
    <xf borderId="0" fillId="2" fontId="1" numFmtId="0" xfId="0" applyAlignment="1" applyFont="1">
      <alignment readingOrder="0"/>
    </xf>
    <xf borderId="0" fillId="3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2" numFmtId="3" xfId="0" applyAlignment="1" applyFont="1" applyNumberFormat="1">
      <alignment readingOrder="0"/>
    </xf>
    <xf borderId="0" fillId="3" fontId="2" numFmtId="3" xfId="0" applyAlignment="1" applyFont="1" applyNumberFormat="1">
      <alignment readingOrder="0"/>
    </xf>
    <xf borderId="0" fillId="3" fontId="2" numFmtId="10" xfId="0" applyFont="1" applyNumberFormat="1"/>
    <xf borderId="1" fillId="0" fontId="3" numFmtId="0" xfId="0" applyAlignment="1" applyBorder="1" applyFont="1">
      <alignment readingOrder="0"/>
    </xf>
    <xf borderId="2" fillId="4" fontId="3" numFmtId="0" xfId="0" applyAlignment="1" applyBorder="1" applyFill="1" applyFont="1">
      <alignment readingOrder="0"/>
    </xf>
    <xf borderId="3" fillId="0" fontId="2" numFmtId="0" xfId="0" applyBorder="1" applyFont="1"/>
    <xf borderId="4" fillId="0" fontId="2" numFmtId="0" xfId="0" applyBorder="1" applyFont="1"/>
    <xf borderId="1" fillId="4" fontId="3" numFmtId="0" xfId="0" applyAlignment="1" applyBorder="1" applyFont="1">
      <alignment readingOrder="0"/>
    </xf>
    <xf borderId="0" fillId="0" fontId="3" numFmtId="0" xfId="0" applyFont="1"/>
    <xf borderId="1" fillId="0" fontId="2" numFmtId="0" xfId="0" applyAlignment="1" applyBorder="1" applyFont="1">
      <alignment readingOrder="0"/>
    </xf>
    <xf borderId="1" fillId="2" fontId="2" numFmtId="0" xfId="0" applyAlignment="1" applyBorder="1" applyFont="1">
      <alignment horizontal="center" readingOrder="0" vertical="center"/>
    </xf>
    <xf borderId="1" fillId="3" fontId="2" numFmtId="4" xfId="0" applyAlignment="1" applyBorder="1" applyFont="1" applyNumberFormat="1">
      <alignment horizontal="center" vertical="center"/>
    </xf>
    <xf borderId="1" fillId="3" fontId="2" numFmtId="10" xfId="0" applyAlignment="1" applyBorder="1" applyFont="1" applyNumberFormat="1">
      <alignment horizontal="center" vertical="center"/>
    </xf>
    <xf borderId="1" fillId="5" fontId="2" numFmtId="0" xfId="0" applyAlignment="1" applyBorder="1" applyFill="1" applyFont="1">
      <alignment shrinkToFit="0" wrapText="1"/>
    </xf>
    <xf borderId="1" fillId="2" fontId="2" numFmtId="0" xfId="0" applyAlignment="1" applyBorder="1" applyFont="1">
      <alignment horizontal="center" vertical="center"/>
    </xf>
    <xf borderId="1" fillId="0" fontId="2" numFmtId="0" xfId="0" applyBorder="1" applyFont="1"/>
    <xf borderId="1" fillId="3" fontId="2" numFmtId="0" xfId="0" applyAlignment="1" applyBorder="1" applyFont="1">
      <alignment horizontal="center" vertical="center"/>
    </xf>
    <xf borderId="1" fillId="5" fontId="2" numFmtId="0" xfId="0" applyBorder="1" applyFont="1"/>
    <xf borderId="0" fillId="0" fontId="2" numFmtId="0" xfId="0" applyAlignment="1" applyFont="1">
      <alignment readingOrder="0" shrinkToFit="0" wrapText="1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2" numFmtId="0" xfId="0" applyAlignment="1" applyFont="1">
      <alignment readingOrder="0" shrinkToFit="0" vertical="top" wrapText="1"/>
    </xf>
    <xf borderId="0" fillId="0" fontId="6" numFmtId="0" xfId="0" applyAlignment="1" applyFont="1">
      <alignment horizontal="left" readingOrder="0" shrinkToFit="0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shrinkToFit="0" vertical="top" wrapText="1"/>
    </xf>
    <xf borderId="0" fillId="0" fontId="5" numFmtId="0" xfId="0" applyAlignment="1" applyFont="1">
      <alignment horizontal="left" readingOrder="0" shrinkToFit="0" wrapText="1"/>
    </xf>
    <xf borderId="0" fillId="4" fontId="5" numFmtId="0" xfId="0" applyAlignment="1" applyFont="1">
      <alignment horizontal="left" readingOrder="0" shrinkToFit="0" wrapText="1"/>
    </xf>
    <xf borderId="0" fillId="4" fontId="7" numFmtId="0" xfId="0" applyAlignment="1" applyFont="1">
      <alignment horizontal="left" readingOrder="0" shrinkToFit="0" wrapText="1"/>
    </xf>
    <xf borderId="1" fillId="0" fontId="8" numFmtId="0" xfId="0" applyAlignment="1" applyBorder="1" applyFont="1">
      <alignment readingOrder="0"/>
    </xf>
    <xf borderId="0" fillId="2" fontId="9" numFmtId="0" xfId="0" applyAlignment="1" applyFont="1">
      <alignment readingOrder="0"/>
    </xf>
    <xf borderId="1" fillId="5" fontId="10" numFmtId="0" xfId="0" applyAlignment="1" applyBorder="1" applyFont="1">
      <alignment shrinkToFit="0" wrapText="1"/>
    </xf>
    <xf borderId="0" fillId="2" fontId="2" numFmtId="0" xfId="0" applyAlignment="1" applyFont="1">
      <alignment readingOrder="0"/>
    </xf>
    <xf borderId="0" fillId="0" fontId="10" numFmtId="0" xfId="0" applyAlignment="1" applyFont="1">
      <alignment horizontal="left" readingOrder="0" vertical="bottom"/>
    </xf>
    <xf borderId="0" fillId="0" fontId="10" numFmtId="0" xfId="0" applyAlignment="1" applyFont="1">
      <alignment horizontal="right" readingOrder="0" vertical="bottom"/>
    </xf>
    <xf borderId="0" fillId="0" fontId="10" numFmtId="0" xfId="0" applyAlignment="1" applyFont="1">
      <alignment horizontal="left" readingOrder="0"/>
    </xf>
  </cellXfs>
  <cellStyles count="1">
    <cellStyle xfId="0" name="Normal" builtinId="0"/>
  </cellStyles>
  <dxfs count="2">
    <dxf>
      <font/>
      <fill>
        <patternFill patternType="solid">
          <fgColor rgb="FF6AA84F"/>
          <bgColor rgb="FF6AA84F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intervolga.ru/blog/thoughts/effektivnost-internet-reklamy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vk.com" TargetMode="External"/><Relationship Id="rId2" Type="http://schemas.openxmlformats.org/officeDocument/2006/relationships/hyperlink" Target="http://www.intervolga.ru/blog/thoughts/effektivnost-internet-reklamy/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www.intervolga.ru/blog/thoughts/effektivnost-internet-reklamy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market.yandex.ru" TargetMode="External"/><Relationship Id="rId2" Type="http://schemas.openxmlformats.org/officeDocument/2006/relationships/hyperlink" Target="http://www.intervolga.ru/blog/thoughts/effektivnost-internet-reklamy/" TargetMode="External"/><Relationship Id="rId3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63"/>
    <col customWidth="1" min="2" max="2" width="7.88"/>
    <col customWidth="1" min="3" max="3" width="7.63"/>
    <col customWidth="1" min="4" max="4" width="8.13"/>
    <col customWidth="1" min="5" max="5" width="7.75"/>
    <col customWidth="1" min="6" max="6" width="7.5"/>
    <col customWidth="1" min="7" max="7" width="7.63"/>
    <col customWidth="1" min="8" max="8" width="7.0"/>
    <col customWidth="1" min="9" max="9" width="9.13"/>
    <col customWidth="1" min="10" max="10" width="6.38"/>
    <col customWidth="1" min="11" max="13" width="8.63"/>
    <col customWidth="1" min="14" max="14" width="9.63"/>
    <col customWidth="1" min="15" max="15" width="9.13"/>
    <col customWidth="1" min="16" max="16" width="7.75"/>
    <col customWidth="1" min="17" max="17" width="6.88"/>
    <col customWidth="1" min="18" max="18" width="7.38"/>
    <col customWidth="1" min="19" max="19" width="28.75"/>
    <col customWidth="1" min="20" max="28" width="9.75"/>
  </cols>
  <sheetData>
    <row r="1">
      <c r="A1" s="1" t="s">
        <v>0</v>
      </c>
      <c r="B1" s="2"/>
      <c r="F1" s="1" t="s">
        <v>1</v>
      </c>
      <c r="G1" s="3">
        <f>R35</f>
        <v>0.55</v>
      </c>
      <c r="H1" s="4" t="str">
        <f>if(G1&lt;0,"Рекламная кампания убыточна",if(G1&lt;1,"Прибыль незначительна","Хорошая окупаемость"))</f>
        <v>Прибыль незначительна</v>
      </c>
      <c r="I1" s="5"/>
      <c r="J1" s="5"/>
    </row>
    <row r="2">
      <c r="A2" s="1" t="s">
        <v>2</v>
      </c>
      <c r="B2" s="2"/>
    </row>
    <row r="4">
      <c r="A4" s="6" t="s">
        <v>3</v>
      </c>
      <c r="B4" s="7" t="s">
        <v>4</v>
      </c>
      <c r="D4" s="8" t="s">
        <v>5</v>
      </c>
      <c r="E4" s="9"/>
      <c r="F4" s="8" t="s">
        <v>6</v>
      </c>
    </row>
    <row r="5">
      <c r="A5" s="9" t="s">
        <v>7</v>
      </c>
      <c r="B5" s="10">
        <v>10000.0</v>
      </c>
      <c r="D5" s="11">
        <f>C35</f>
        <v>15400</v>
      </c>
      <c r="E5" s="9"/>
      <c r="F5" s="12">
        <f t="shared" ref="F5:F11" si="1">if(B5&gt;0,D5/B5,"")</f>
        <v>1.54</v>
      </c>
    </row>
    <row r="6">
      <c r="A6" s="9" t="s">
        <v>8</v>
      </c>
      <c r="B6" s="10">
        <v>1000.0</v>
      </c>
      <c r="D6" s="11">
        <f>D35</f>
        <v>1168</v>
      </c>
      <c r="E6" s="9"/>
      <c r="F6" s="12">
        <f t="shared" si="1"/>
        <v>1.168</v>
      </c>
    </row>
    <row r="7">
      <c r="A7" s="9" t="s">
        <v>9</v>
      </c>
      <c r="B7" s="10">
        <v>100.0</v>
      </c>
      <c r="D7" s="11">
        <f>E35</f>
        <v>64</v>
      </c>
      <c r="E7" s="9"/>
      <c r="F7" s="12">
        <f t="shared" si="1"/>
        <v>0.64</v>
      </c>
    </row>
    <row r="8">
      <c r="A8" s="9" t="s">
        <v>10</v>
      </c>
      <c r="B8" s="10">
        <v>800.0</v>
      </c>
      <c r="D8" s="11">
        <f>F35</f>
        <v>729</v>
      </c>
      <c r="E8" s="9"/>
      <c r="F8" s="12">
        <f t="shared" si="1"/>
        <v>0.91125</v>
      </c>
    </row>
    <row r="9">
      <c r="A9" s="9" t="s">
        <v>11</v>
      </c>
      <c r="B9" s="10">
        <v>750.0</v>
      </c>
      <c r="D9" s="11">
        <f>G35</f>
        <v>662</v>
      </c>
      <c r="E9" s="9"/>
      <c r="F9" s="12">
        <f t="shared" si="1"/>
        <v>0.8826666667</v>
      </c>
    </row>
    <row r="10">
      <c r="A10" s="9" t="s">
        <v>12</v>
      </c>
      <c r="B10" s="10">
        <v>1200000.0</v>
      </c>
      <c r="D10" s="11">
        <f>H35</f>
        <v>1378000</v>
      </c>
      <c r="E10" s="9"/>
      <c r="F10" s="12">
        <f t="shared" si="1"/>
        <v>1.148333333</v>
      </c>
    </row>
    <row r="11">
      <c r="A11" s="9" t="s">
        <v>13</v>
      </c>
      <c r="B11" s="10">
        <v>300000.0</v>
      </c>
      <c r="D11" s="11">
        <f>I35</f>
        <v>155000</v>
      </c>
      <c r="E11" s="9"/>
      <c r="F11" s="12">
        <f t="shared" si="1"/>
        <v>0.5166666667</v>
      </c>
    </row>
    <row r="12">
      <c r="A12" s="9"/>
      <c r="B12" s="9"/>
      <c r="C12" s="9"/>
      <c r="D12" s="9"/>
    </row>
    <row r="13">
      <c r="A13" s="1" t="s">
        <v>14</v>
      </c>
      <c r="B13" s="9"/>
      <c r="C13" s="9"/>
      <c r="D13" s="9"/>
    </row>
    <row r="14">
      <c r="A14" s="9" t="s">
        <v>15</v>
      </c>
      <c r="B14" s="10">
        <v>100000.0</v>
      </c>
      <c r="C14" s="9"/>
      <c r="D14" s="11">
        <f>B35</f>
        <v>100000</v>
      </c>
      <c r="F14" s="12">
        <f>if(B14&gt;0,D14/B14,"")</f>
        <v>1</v>
      </c>
    </row>
    <row r="15">
      <c r="A15" s="9"/>
      <c r="B15" s="9"/>
      <c r="C15" s="9"/>
      <c r="D15" s="9"/>
      <c r="R15" s="9"/>
    </row>
    <row r="16">
      <c r="A16" s="1" t="s">
        <v>16</v>
      </c>
      <c r="B16" s="9"/>
      <c r="C16" s="9"/>
      <c r="D16" s="9"/>
    </row>
    <row r="17">
      <c r="A17" s="13"/>
      <c r="B17" s="14" t="s">
        <v>17</v>
      </c>
      <c r="C17" s="15"/>
      <c r="D17" s="15"/>
      <c r="E17" s="15"/>
      <c r="F17" s="15"/>
      <c r="G17" s="15"/>
      <c r="H17" s="15"/>
      <c r="I17" s="16"/>
      <c r="J17" s="14" t="s">
        <v>18</v>
      </c>
      <c r="K17" s="15"/>
      <c r="L17" s="15"/>
      <c r="M17" s="15"/>
      <c r="N17" s="15"/>
      <c r="O17" s="15"/>
      <c r="P17" s="15"/>
      <c r="Q17" s="15"/>
      <c r="R17" s="16"/>
      <c r="S17" s="17" t="s">
        <v>19</v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>
      <c r="A18" s="13"/>
      <c r="B18" s="17"/>
      <c r="C18" s="17"/>
      <c r="D18" s="17"/>
      <c r="E18" s="17"/>
      <c r="F18" s="17"/>
      <c r="G18" s="17"/>
      <c r="H18" s="17"/>
      <c r="I18" s="17"/>
      <c r="J18" s="14" t="s">
        <v>20</v>
      </c>
      <c r="K18" s="15"/>
      <c r="L18" s="15"/>
      <c r="M18" s="16"/>
      <c r="N18" s="14"/>
      <c r="O18" s="15"/>
      <c r="P18" s="16"/>
      <c r="Q18" s="14" t="s">
        <v>1</v>
      </c>
      <c r="R18" s="16"/>
      <c r="S18" s="17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>
      <c r="A19" s="13" t="s">
        <v>21</v>
      </c>
      <c r="B19" s="17" t="s">
        <v>22</v>
      </c>
      <c r="C19" s="17" t="s">
        <v>23</v>
      </c>
      <c r="D19" s="17" t="s">
        <v>24</v>
      </c>
      <c r="E19" s="17" t="s">
        <v>25</v>
      </c>
      <c r="F19" s="17" t="s">
        <v>26</v>
      </c>
      <c r="G19" s="17" t="s">
        <v>27</v>
      </c>
      <c r="H19" s="17" t="s">
        <v>28</v>
      </c>
      <c r="I19" s="17" t="s">
        <v>13</v>
      </c>
      <c r="J19" s="17" t="s">
        <v>29</v>
      </c>
      <c r="K19" s="17" t="s">
        <v>30</v>
      </c>
      <c r="L19" s="17" t="s">
        <v>31</v>
      </c>
      <c r="M19" s="17" t="s">
        <v>32</v>
      </c>
      <c r="N19" s="17" t="s">
        <v>33</v>
      </c>
      <c r="O19" s="17" t="s">
        <v>34</v>
      </c>
      <c r="P19" s="17" t="s">
        <v>35</v>
      </c>
      <c r="Q19" s="17" t="s">
        <v>36</v>
      </c>
      <c r="R19" s="17" t="s">
        <v>37</v>
      </c>
      <c r="S19" s="17" t="s">
        <v>38</v>
      </c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>
      <c r="A20" s="19" t="s">
        <v>39</v>
      </c>
      <c r="B20" s="20">
        <v>12000.0</v>
      </c>
      <c r="C20" s="20">
        <v>2000.0</v>
      </c>
      <c r="D20" s="20">
        <v>291.0</v>
      </c>
      <c r="E20" s="20">
        <v>2.0</v>
      </c>
      <c r="F20" s="20">
        <v>90.0</v>
      </c>
      <c r="G20" s="20">
        <v>88.0</v>
      </c>
      <c r="H20" s="20">
        <v>170000.0</v>
      </c>
      <c r="I20" s="20">
        <v>19000.0</v>
      </c>
      <c r="J20" s="21">
        <f t="shared" ref="J20:J35" si="2">if(C20&gt;0,B20/C20,"")</f>
        <v>6</v>
      </c>
      <c r="K20" s="21">
        <f t="shared" ref="K20:K35" si="3">if(E20&gt;0,B20/E20,"")</f>
        <v>6000</v>
      </c>
      <c r="L20" s="21">
        <f t="shared" ref="L20:L35" si="4">if(D20&gt;0,B20/D20,"")</f>
        <v>41.2371134</v>
      </c>
      <c r="M20" s="21">
        <f t="shared" ref="M20:M35" si="5">if(F20&gt;0,B20/F20,"")</f>
        <v>133.3333333</v>
      </c>
      <c r="N20" s="22">
        <f t="shared" ref="N20:N35" si="6">if(C20&gt;0,G20/C20,"")</f>
        <v>0.044</v>
      </c>
      <c r="O20" s="22">
        <f t="shared" ref="O20:O35" si="7">if(F20&gt;0,(F20-G20)/F20,"")</f>
        <v>0.02222222222</v>
      </c>
      <c r="P20" s="21">
        <f t="shared" ref="P20:P35" si="8">if(G20&gt;0,H20/G20,"")</f>
        <v>1931.818182</v>
      </c>
      <c r="Q20" s="22">
        <f t="shared" ref="Q20:Q35" si="9">if(B20&gt;0,(I20-B20)/B20,"")</f>
        <v>0.5833333333</v>
      </c>
      <c r="R20" s="22">
        <f t="shared" ref="R20:R33" si="10">if(B20&gt;0,(I20*(1+I$34/(I$35-$I$34))-B20)/B20,"")</f>
        <v>0.6470917226</v>
      </c>
      <c r="S20" s="23" t="str">
        <f t="shared" ref="S20:S34" si="11">CONCATENATE(if(N20=min(N$20:N$34),"Худшая конверсия. ",""),if(N20=max(N$20:N$34),"Лучшая конверсия. ",""),if(Q20=min(Q$20:Q$34),"Худший ROI. ",""),if(Q20=max(Q$20:Q$34),"Лучший ROI. ",""),if(P20=min(P$20:P$34),"Наименьший средний чек. ",""),if(P20=max(P$20:P$34),"Наибольший средний чек. ",""),if(O20=min(O$20:O$34),"Наименьший процент отказа. ",""),if(O20=max(O$20:O$34),"Наибольший процент отказа. ",""),if(Q20&lt;0,"Отрицательный ROI, канал убыточен. ",""))</f>
        <v>Наименьший процент отказа. </v>
      </c>
    </row>
    <row r="21">
      <c r="A21" s="19" t="s">
        <v>40</v>
      </c>
      <c r="B21" s="20">
        <v>12000.0</v>
      </c>
      <c r="C21" s="20">
        <v>1800.0</v>
      </c>
      <c r="D21" s="20">
        <v>243.0</v>
      </c>
      <c r="E21" s="20">
        <v>1.0</v>
      </c>
      <c r="F21" s="20">
        <v>80.0</v>
      </c>
      <c r="G21" s="20">
        <v>76.0</v>
      </c>
      <c r="H21" s="20">
        <v>150000.0</v>
      </c>
      <c r="I21" s="20">
        <v>20000.0</v>
      </c>
      <c r="J21" s="21">
        <f t="shared" si="2"/>
        <v>6.666666667</v>
      </c>
      <c r="K21" s="21">
        <f t="shared" si="3"/>
        <v>12000</v>
      </c>
      <c r="L21" s="21">
        <f t="shared" si="4"/>
        <v>49.38271605</v>
      </c>
      <c r="M21" s="21">
        <f t="shared" si="5"/>
        <v>150</v>
      </c>
      <c r="N21" s="22">
        <f t="shared" si="6"/>
        <v>0.04222222222</v>
      </c>
      <c r="O21" s="22">
        <f t="shared" si="7"/>
        <v>0.05</v>
      </c>
      <c r="P21" s="21">
        <f t="shared" si="8"/>
        <v>1973.684211</v>
      </c>
      <c r="Q21" s="22">
        <f t="shared" si="9"/>
        <v>0.6666666667</v>
      </c>
      <c r="R21" s="22">
        <f t="shared" si="10"/>
        <v>0.7337807606</v>
      </c>
      <c r="S21" s="23" t="str">
        <f t="shared" si="11"/>
        <v>Лучший ROI. </v>
      </c>
    </row>
    <row r="22">
      <c r="A22" s="19" t="s">
        <v>41</v>
      </c>
      <c r="B22" s="20">
        <v>8000.0</v>
      </c>
      <c r="C22" s="20">
        <v>450.0</v>
      </c>
      <c r="D22" s="20">
        <v>33.0</v>
      </c>
      <c r="E22" s="20">
        <v>2.0</v>
      </c>
      <c r="F22" s="20">
        <v>30.0</v>
      </c>
      <c r="G22" s="20">
        <v>25.0</v>
      </c>
      <c r="H22" s="20">
        <v>70000.0</v>
      </c>
      <c r="I22" s="20">
        <v>9000.0</v>
      </c>
      <c r="J22" s="21">
        <f t="shared" si="2"/>
        <v>17.77777778</v>
      </c>
      <c r="K22" s="21">
        <f t="shared" si="3"/>
        <v>4000</v>
      </c>
      <c r="L22" s="21">
        <f t="shared" si="4"/>
        <v>242.4242424</v>
      </c>
      <c r="M22" s="21">
        <f t="shared" si="5"/>
        <v>266.6666667</v>
      </c>
      <c r="N22" s="22">
        <f t="shared" si="6"/>
        <v>0.05555555556</v>
      </c>
      <c r="O22" s="22">
        <f t="shared" si="7"/>
        <v>0.1666666667</v>
      </c>
      <c r="P22" s="21">
        <f t="shared" si="8"/>
        <v>2800</v>
      </c>
      <c r="Q22" s="22">
        <f t="shared" si="9"/>
        <v>0.125</v>
      </c>
      <c r="R22" s="22">
        <f t="shared" si="10"/>
        <v>0.1703020134</v>
      </c>
      <c r="S22" s="23" t="str">
        <f t="shared" si="11"/>
        <v>Наибольший средний чек. </v>
      </c>
    </row>
    <row r="23">
      <c r="A23" s="19" t="s">
        <v>42</v>
      </c>
      <c r="B23" s="20">
        <v>12000.0</v>
      </c>
      <c r="C23" s="20">
        <v>550.0</v>
      </c>
      <c r="D23" s="20">
        <v>23.0</v>
      </c>
      <c r="E23" s="20">
        <v>3.0</v>
      </c>
      <c r="F23" s="20">
        <v>41.0</v>
      </c>
      <c r="G23" s="20">
        <v>31.0</v>
      </c>
      <c r="H23" s="20">
        <v>80000.0</v>
      </c>
      <c r="I23" s="20">
        <v>10000.0</v>
      </c>
      <c r="J23" s="21">
        <f t="shared" si="2"/>
        <v>21.81818182</v>
      </c>
      <c r="K23" s="21">
        <f t="shared" si="3"/>
        <v>4000</v>
      </c>
      <c r="L23" s="21">
        <f t="shared" si="4"/>
        <v>521.7391304</v>
      </c>
      <c r="M23" s="21">
        <f t="shared" si="5"/>
        <v>292.6829268</v>
      </c>
      <c r="N23" s="22">
        <f t="shared" si="6"/>
        <v>0.05636363636</v>
      </c>
      <c r="O23" s="22">
        <f t="shared" si="7"/>
        <v>0.243902439</v>
      </c>
      <c r="P23" s="21">
        <f t="shared" si="8"/>
        <v>2580.645161</v>
      </c>
      <c r="Q23" s="22">
        <f t="shared" si="9"/>
        <v>-0.1666666667</v>
      </c>
      <c r="R23" s="22">
        <f t="shared" si="10"/>
        <v>-0.1331096197</v>
      </c>
      <c r="S23" s="23" t="str">
        <f t="shared" si="11"/>
        <v>Худший ROI. Наибольший процент отказа. Отрицательный ROI, канал убыточен. </v>
      </c>
    </row>
    <row r="24">
      <c r="A24" s="19" t="s">
        <v>43</v>
      </c>
      <c r="B24" s="20">
        <v>11000.0</v>
      </c>
      <c r="C24" s="20">
        <v>600.0</v>
      </c>
      <c r="D24" s="20">
        <v>22.0</v>
      </c>
      <c r="E24" s="20">
        <v>4.0</v>
      </c>
      <c r="F24" s="20">
        <v>38.0</v>
      </c>
      <c r="G24" s="20">
        <v>36.0</v>
      </c>
      <c r="H24" s="20">
        <v>80000.0</v>
      </c>
      <c r="I24" s="20">
        <v>11000.0</v>
      </c>
      <c r="J24" s="21">
        <f t="shared" si="2"/>
        <v>18.33333333</v>
      </c>
      <c r="K24" s="21">
        <f t="shared" si="3"/>
        <v>2750</v>
      </c>
      <c r="L24" s="21">
        <f t="shared" si="4"/>
        <v>500</v>
      </c>
      <c r="M24" s="21">
        <f t="shared" si="5"/>
        <v>289.4736842</v>
      </c>
      <c r="N24" s="22">
        <f t="shared" si="6"/>
        <v>0.06</v>
      </c>
      <c r="O24" s="22">
        <f t="shared" si="7"/>
        <v>0.05263157895</v>
      </c>
      <c r="P24" s="21">
        <f t="shared" si="8"/>
        <v>2222.222222</v>
      </c>
      <c r="Q24" s="22">
        <f t="shared" si="9"/>
        <v>0</v>
      </c>
      <c r="R24" s="22">
        <f t="shared" si="10"/>
        <v>0.04026845638</v>
      </c>
      <c r="S24" s="23" t="str">
        <f t="shared" si="11"/>
        <v>Лучшая конверсия. </v>
      </c>
    </row>
    <row r="25">
      <c r="A25" s="19" t="s">
        <v>44</v>
      </c>
      <c r="B25" s="20">
        <v>15000.0</v>
      </c>
      <c r="C25" s="20">
        <v>1000.0</v>
      </c>
      <c r="D25" s="20">
        <v>14.0</v>
      </c>
      <c r="E25" s="20">
        <v>3.0</v>
      </c>
      <c r="F25" s="20">
        <v>58.0</v>
      </c>
      <c r="G25" s="20">
        <v>54.0</v>
      </c>
      <c r="H25" s="20">
        <v>120000.0</v>
      </c>
      <c r="I25" s="20">
        <v>20000.0</v>
      </c>
      <c r="J25" s="21">
        <f t="shared" si="2"/>
        <v>15</v>
      </c>
      <c r="K25" s="21">
        <f t="shared" si="3"/>
        <v>5000</v>
      </c>
      <c r="L25" s="21">
        <f t="shared" si="4"/>
        <v>1071.428571</v>
      </c>
      <c r="M25" s="21">
        <f t="shared" si="5"/>
        <v>258.6206897</v>
      </c>
      <c r="N25" s="22">
        <f t="shared" si="6"/>
        <v>0.054</v>
      </c>
      <c r="O25" s="22">
        <f t="shared" si="7"/>
        <v>0.06896551724</v>
      </c>
      <c r="P25" s="21">
        <f t="shared" si="8"/>
        <v>2222.222222</v>
      </c>
      <c r="Q25" s="22">
        <f t="shared" si="9"/>
        <v>0.3333333333</v>
      </c>
      <c r="R25" s="22">
        <f t="shared" si="10"/>
        <v>0.3870246085</v>
      </c>
      <c r="S25" s="23" t="str">
        <f t="shared" si="11"/>
        <v/>
      </c>
    </row>
    <row r="26">
      <c r="A26" s="19" t="s">
        <v>45</v>
      </c>
      <c r="B26" s="20">
        <v>15000.0</v>
      </c>
      <c r="C26" s="20">
        <v>1000.0</v>
      </c>
      <c r="D26" s="20">
        <v>242.0</v>
      </c>
      <c r="E26" s="20">
        <v>4.0</v>
      </c>
      <c r="F26" s="20">
        <v>49.0</v>
      </c>
      <c r="G26" s="20">
        <v>40.0</v>
      </c>
      <c r="H26" s="20">
        <v>90000.0</v>
      </c>
      <c r="I26" s="20">
        <v>17000.0</v>
      </c>
      <c r="J26" s="21">
        <f t="shared" si="2"/>
        <v>15</v>
      </c>
      <c r="K26" s="21">
        <f t="shared" si="3"/>
        <v>3750</v>
      </c>
      <c r="L26" s="21">
        <f t="shared" si="4"/>
        <v>61.98347107</v>
      </c>
      <c r="M26" s="21">
        <f t="shared" si="5"/>
        <v>306.122449</v>
      </c>
      <c r="N26" s="22">
        <f t="shared" si="6"/>
        <v>0.04</v>
      </c>
      <c r="O26" s="22">
        <f t="shared" si="7"/>
        <v>0.1836734694</v>
      </c>
      <c r="P26" s="21">
        <f t="shared" si="8"/>
        <v>2250</v>
      </c>
      <c r="Q26" s="22">
        <f t="shared" si="9"/>
        <v>0.1333333333</v>
      </c>
      <c r="R26" s="22">
        <f t="shared" si="10"/>
        <v>0.1789709172</v>
      </c>
      <c r="S26" s="23" t="str">
        <f t="shared" si="11"/>
        <v/>
      </c>
    </row>
    <row r="27">
      <c r="A27" s="19" t="s">
        <v>46</v>
      </c>
      <c r="B27" s="20">
        <v>15000.0</v>
      </c>
      <c r="C27" s="20">
        <v>8000.0</v>
      </c>
      <c r="D27" s="20">
        <v>300.0</v>
      </c>
      <c r="E27" s="20">
        <v>45.0</v>
      </c>
      <c r="F27" s="20">
        <v>72.0</v>
      </c>
      <c r="G27" s="20">
        <v>67.0</v>
      </c>
      <c r="H27" s="20">
        <v>150000.0</v>
      </c>
      <c r="I27" s="20">
        <v>20000.0</v>
      </c>
      <c r="J27" s="21">
        <f t="shared" si="2"/>
        <v>1.875</v>
      </c>
      <c r="K27" s="21">
        <f t="shared" si="3"/>
        <v>333.3333333</v>
      </c>
      <c r="L27" s="21">
        <f t="shared" si="4"/>
        <v>50</v>
      </c>
      <c r="M27" s="21">
        <f t="shared" si="5"/>
        <v>208.3333333</v>
      </c>
      <c r="N27" s="22">
        <f t="shared" si="6"/>
        <v>0.008375</v>
      </c>
      <c r="O27" s="22">
        <f t="shared" si="7"/>
        <v>0.06944444444</v>
      </c>
      <c r="P27" s="21">
        <f t="shared" si="8"/>
        <v>2238.80597</v>
      </c>
      <c r="Q27" s="22">
        <f t="shared" si="9"/>
        <v>0.3333333333</v>
      </c>
      <c r="R27" s="22">
        <f t="shared" si="10"/>
        <v>0.3870246085</v>
      </c>
      <c r="S27" s="23" t="str">
        <f t="shared" si="11"/>
        <v>Худшая конверсия. </v>
      </c>
    </row>
    <row r="28">
      <c r="A28" s="19" t="s">
        <v>47</v>
      </c>
      <c r="B28" s="20"/>
      <c r="C28" s="24"/>
      <c r="D28" s="24"/>
      <c r="E28" s="24"/>
      <c r="F28" s="20">
        <v>230.0</v>
      </c>
      <c r="G28" s="20">
        <v>212.0</v>
      </c>
      <c r="H28" s="20">
        <v>400000.0</v>
      </c>
      <c r="I28" s="20">
        <v>20000.0</v>
      </c>
      <c r="J28" s="21" t="str">
        <f t="shared" si="2"/>
        <v/>
      </c>
      <c r="K28" s="21" t="str">
        <f t="shared" si="3"/>
        <v/>
      </c>
      <c r="L28" s="21" t="str">
        <f t="shared" si="4"/>
        <v/>
      </c>
      <c r="M28" s="21">
        <f t="shared" si="5"/>
        <v>0</v>
      </c>
      <c r="N28" s="22" t="str">
        <f t="shared" si="6"/>
        <v/>
      </c>
      <c r="O28" s="22">
        <f t="shared" si="7"/>
        <v>0.07826086957</v>
      </c>
      <c r="P28" s="21">
        <f t="shared" si="8"/>
        <v>1886.792453</v>
      </c>
      <c r="Q28" s="22" t="str">
        <f t="shared" si="9"/>
        <v/>
      </c>
      <c r="R28" s="22" t="str">
        <f t="shared" si="10"/>
        <v/>
      </c>
      <c r="S28" s="23" t="str">
        <f t="shared" si="11"/>
        <v>Наименьший средний чек. </v>
      </c>
    </row>
    <row r="29">
      <c r="A29" s="19" t="s">
        <v>48</v>
      </c>
      <c r="B29" s="20"/>
      <c r="C29" s="24"/>
      <c r="D29" s="24"/>
      <c r="E29" s="24"/>
      <c r="F29" s="20">
        <v>5.0</v>
      </c>
      <c r="G29" s="20">
        <v>4.0</v>
      </c>
      <c r="H29" s="20">
        <v>8000.0</v>
      </c>
      <c r="I29" s="20">
        <v>1200.0</v>
      </c>
      <c r="J29" s="21" t="str">
        <f t="shared" si="2"/>
        <v/>
      </c>
      <c r="K29" s="21" t="str">
        <f t="shared" si="3"/>
        <v/>
      </c>
      <c r="L29" s="21" t="str">
        <f t="shared" si="4"/>
        <v/>
      </c>
      <c r="M29" s="21">
        <f t="shared" si="5"/>
        <v>0</v>
      </c>
      <c r="N29" s="22" t="str">
        <f t="shared" si="6"/>
        <v/>
      </c>
      <c r="O29" s="22">
        <f t="shared" si="7"/>
        <v>0.2</v>
      </c>
      <c r="P29" s="21">
        <f t="shared" si="8"/>
        <v>2000</v>
      </c>
      <c r="Q29" s="22" t="str">
        <f t="shared" si="9"/>
        <v/>
      </c>
      <c r="R29" s="22" t="str">
        <f t="shared" si="10"/>
        <v/>
      </c>
      <c r="S29" s="23" t="str">
        <f t="shared" si="11"/>
        <v/>
      </c>
    </row>
    <row r="30">
      <c r="A30" s="19" t="s">
        <v>49</v>
      </c>
      <c r="B30" s="20"/>
      <c r="C30" s="24"/>
      <c r="D30" s="24"/>
      <c r="E30" s="24"/>
      <c r="F30" s="20">
        <v>6.0</v>
      </c>
      <c r="G30" s="20">
        <v>5.0</v>
      </c>
      <c r="H30" s="20">
        <v>11000.0</v>
      </c>
      <c r="I30" s="20">
        <v>1800.0</v>
      </c>
      <c r="J30" s="21" t="str">
        <f t="shared" si="2"/>
        <v/>
      </c>
      <c r="K30" s="21" t="str">
        <f t="shared" si="3"/>
        <v/>
      </c>
      <c r="L30" s="21" t="str">
        <f t="shared" si="4"/>
        <v/>
      </c>
      <c r="M30" s="21">
        <f t="shared" si="5"/>
        <v>0</v>
      </c>
      <c r="N30" s="22" t="str">
        <f t="shared" si="6"/>
        <v/>
      </c>
      <c r="O30" s="22">
        <f t="shared" si="7"/>
        <v>0.1666666667</v>
      </c>
      <c r="P30" s="21">
        <f t="shared" si="8"/>
        <v>2200</v>
      </c>
      <c r="Q30" s="22" t="str">
        <f t="shared" si="9"/>
        <v/>
      </c>
      <c r="R30" s="22" t="str">
        <f t="shared" si="10"/>
        <v/>
      </c>
      <c r="S30" s="23" t="str">
        <f t="shared" si="11"/>
        <v/>
      </c>
    </row>
    <row r="31">
      <c r="A31" s="25"/>
      <c r="B31" s="20"/>
      <c r="C31" s="24"/>
      <c r="D31" s="24"/>
      <c r="E31" s="24"/>
      <c r="F31" s="20"/>
      <c r="G31" s="20"/>
      <c r="H31" s="20"/>
      <c r="I31" s="20"/>
      <c r="J31" s="21" t="str">
        <f t="shared" si="2"/>
        <v/>
      </c>
      <c r="K31" s="21" t="str">
        <f t="shared" si="3"/>
        <v/>
      </c>
      <c r="L31" s="21" t="str">
        <f t="shared" si="4"/>
        <v/>
      </c>
      <c r="M31" s="21" t="str">
        <f t="shared" si="5"/>
        <v/>
      </c>
      <c r="N31" s="22" t="str">
        <f t="shared" si="6"/>
        <v/>
      </c>
      <c r="O31" s="22" t="str">
        <f t="shared" si="7"/>
        <v/>
      </c>
      <c r="P31" s="21" t="str">
        <f t="shared" si="8"/>
        <v/>
      </c>
      <c r="Q31" s="22" t="str">
        <f t="shared" si="9"/>
        <v/>
      </c>
      <c r="R31" s="22" t="str">
        <f t="shared" si="10"/>
        <v/>
      </c>
      <c r="S31" s="23" t="str">
        <f t="shared" si="11"/>
        <v/>
      </c>
    </row>
    <row r="32">
      <c r="A32" s="25"/>
      <c r="B32" s="20"/>
      <c r="C32" s="24"/>
      <c r="D32" s="24"/>
      <c r="E32" s="24"/>
      <c r="F32" s="20"/>
      <c r="G32" s="20"/>
      <c r="H32" s="20"/>
      <c r="I32" s="20"/>
      <c r="J32" s="21" t="str">
        <f t="shared" si="2"/>
        <v/>
      </c>
      <c r="K32" s="21" t="str">
        <f t="shared" si="3"/>
        <v/>
      </c>
      <c r="L32" s="21" t="str">
        <f t="shared" si="4"/>
        <v/>
      </c>
      <c r="M32" s="21" t="str">
        <f t="shared" si="5"/>
        <v/>
      </c>
      <c r="N32" s="22" t="str">
        <f t="shared" si="6"/>
        <v/>
      </c>
      <c r="O32" s="22" t="str">
        <f t="shared" si="7"/>
        <v/>
      </c>
      <c r="P32" s="21" t="str">
        <f t="shared" si="8"/>
        <v/>
      </c>
      <c r="Q32" s="22" t="str">
        <f t="shared" si="9"/>
        <v/>
      </c>
      <c r="R32" s="22" t="str">
        <f t="shared" si="10"/>
        <v/>
      </c>
      <c r="S32" s="23" t="str">
        <f t="shared" si="11"/>
        <v/>
      </c>
    </row>
    <row r="33">
      <c r="A33" s="25"/>
      <c r="B33" s="20"/>
      <c r="C33" s="24"/>
      <c r="D33" s="24"/>
      <c r="E33" s="24"/>
      <c r="F33" s="20"/>
      <c r="G33" s="20"/>
      <c r="H33" s="20"/>
      <c r="I33" s="20"/>
      <c r="J33" s="21" t="str">
        <f t="shared" si="2"/>
        <v/>
      </c>
      <c r="K33" s="21" t="str">
        <f t="shared" si="3"/>
        <v/>
      </c>
      <c r="L33" s="21" t="str">
        <f t="shared" si="4"/>
        <v/>
      </c>
      <c r="M33" s="21" t="str">
        <f t="shared" si="5"/>
        <v/>
      </c>
      <c r="N33" s="22" t="str">
        <f t="shared" si="6"/>
        <v/>
      </c>
      <c r="O33" s="22" t="str">
        <f t="shared" si="7"/>
        <v/>
      </c>
      <c r="P33" s="21" t="str">
        <f t="shared" si="8"/>
        <v/>
      </c>
      <c r="Q33" s="22" t="str">
        <f t="shared" si="9"/>
        <v/>
      </c>
      <c r="R33" s="22" t="str">
        <f t="shared" si="10"/>
        <v/>
      </c>
      <c r="S33" s="23" t="str">
        <f t="shared" si="11"/>
        <v/>
      </c>
    </row>
    <row r="34">
      <c r="A34" s="19" t="s">
        <v>50</v>
      </c>
      <c r="B34" s="20"/>
      <c r="C34" s="24"/>
      <c r="D34" s="24"/>
      <c r="E34" s="24"/>
      <c r="F34" s="20">
        <v>30.0</v>
      </c>
      <c r="G34" s="20">
        <v>24.0</v>
      </c>
      <c r="H34" s="20">
        <v>49000.0</v>
      </c>
      <c r="I34" s="20">
        <v>6000.0</v>
      </c>
      <c r="J34" s="21" t="str">
        <f t="shared" si="2"/>
        <v/>
      </c>
      <c r="K34" s="21" t="str">
        <f t="shared" si="3"/>
        <v/>
      </c>
      <c r="L34" s="21" t="str">
        <f t="shared" si="4"/>
        <v/>
      </c>
      <c r="M34" s="21">
        <f t="shared" si="5"/>
        <v>0</v>
      </c>
      <c r="N34" s="22" t="str">
        <f t="shared" si="6"/>
        <v/>
      </c>
      <c r="O34" s="22">
        <f t="shared" si="7"/>
        <v>0.2</v>
      </c>
      <c r="P34" s="21">
        <f t="shared" si="8"/>
        <v>2041.666667</v>
      </c>
      <c r="Q34" s="22" t="str">
        <f t="shared" si="9"/>
        <v/>
      </c>
      <c r="R34" s="22" t="str">
        <f t="shared" ref="R34:R35" si="13">if(B34&gt;0,(I34-B34)/B34,"")</f>
        <v/>
      </c>
      <c r="S34" s="23" t="str">
        <f t="shared" si="11"/>
        <v/>
      </c>
    </row>
    <row r="35">
      <c r="A35" s="13" t="s">
        <v>51</v>
      </c>
      <c r="B35" s="26">
        <f t="shared" ref="B35:I35" si="12">sum(B20:B34)</f>
        <v>100000</v>
      </c>
      <c r="C35" s="26">
        <f t="shared" si="12"/>
        <v>15400</v>
      </c>
      <c r="D35" s="26">
        <f t="shared" si="12"/>
        <v>1168</v>
      </c>
      <c r="E35" s="26">
        <f t="shared" si="12"/>
        <v>64</v>
      </c>
      <c r="F35" s="26">
        <f t="shared" si="12"/>
        <v>729</v>
      </c>
      <c r="G35" s="26">
        <f t="shared" si="12"/>
        <v>662</v>
      </c>
      <c r="H35" s="26">
        <f t="shared" si="12"/>
        <v>1378000</v>
      </c>
      <c r="I35" s="26">
        <f t="shared" si="12"/>
        <v>155000</v>
      </c>
      <c r="J35" s="21">
        <f t="shared" si="2"/>
        <v>6.493506494</v>
      </c>
      <c r="K35" s="21">
        <f t="shared" si="3"/>
        <v>1562.5</v>
      </c>
      <c r="L35" s="21">
        <f t="shared" si="4"/>
        <v>85.61643836</v>
      </c>
      <c r="M35" s="21">
        <f t="shared" si="5"/>
        <v>137.1742112</v>
      </c>
      <c r="N35" s="22">
        <f t="shared" si="6"/>
        <v>0.04298701299</v>
      </c>
      <c r="O35" s="22">
        <f t="shared" si="7"/>
        <v>0.09190672154</v>
      </c>
      <c r="P35" s="21">
        <f t="shared" si="8"/>
        <v>2081.570997</v>
      </c>
      <c r="Q35" s="22">
        <f t="shared" si="9"/>
        <v>0.55</v>
      </c>
      <c r="R35" s="22">
        <f t="shared" si="13"/>
        <v>0.55</v>
      </c>
      <c r="S35" s="27"/>
    </row>
    <row r="39">
      <c r="A39" s="1" t="s">
        <v>52</v>
      </c>
      <c r="B39" s="9"/>
      <c r="D39" s="9"/>
      <c r="E39" s="9"/>
    </row>
    <row r="40">
      <c r="A40" s="28" t="s">
        <v>53</v>
      </c>
      <c r="N40" s="9"/>
      <c r="P40" s="9"/>
      <c r="Q40" s="9"/>
    </row>
    <row r="41">
      <c r="A41" s="28" t="s">
        <v>54</v>
      </c>
      <c r="M41" s="9"/>
    </row>
    <row r="42">
      <c r="A42" s="28" t="s">
        <v>55</v>
      </c>
    </row>
    <row r="43">
      <c r="A43" s="28" t="s">
        <v>56</v>
      </c>
    </row>
    <row r="44">
      <c r="A44" s="9"/>
    </row>
    <row r="45">
      <c r="A45" s="9" t="s">
        <v>57</v>
      </c>
      <c r="C45" s="29" t="s">
        <v>58</v>
      </c>
    </row>
    <row r="46">
      <c r="A46" s="9" t="s">
        <v>59</v>
      </c>
    </row>
    <row r="47">
      <c r="A47" s="30"/>
    </row>
    <row r="48">
      <c r="A48" s="31">
        <v>1.0</v>
      </c>
      <c r="B48" s="32" t="str">
        <f>HYPERLINK("http://www.intervolga.ru/blog/thoughts/eshop-okupaemost-internet-magazina/","Прогнозная модель окупаемости интернет-магазина")</f>
        <v>Прогнозная модель окупаемости интернет-магазина</v>
      </c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>
      <c r="A49" s="34"/>
      <c r="B49" s="35" t="s">
        <v>60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>
      <c r="A50" s="34"/>
      <c r="B50" s="35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>
      <c r="A51" s="31">
        <v>2.0</v>
      </c>
      <c r="B51" s="32" t="str">
        <f>HYPERLINK("http://www.intervolga.ru/blog/thoughts/ya-znayu-kakaya-polovina-trat-na-reklamu-raskhoduetsya-zrya/","Я знаю, какая половина трат на рекламу расходуется зря.")</f>
        <v>Я знаю, какая половина трат на рекламу расходуется зря.</v>
      </c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>
      <c r="A52" s="34"/>
      <c r="B52" s="36" t="s">
        <v>61</v>
      </c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>
      <c r="A53" s="31"/>
      <c r="B53" s="35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>
      <c r="A54" s="31">
        <v>3.0</v>
      </c>
      <c r="B54" s="32" t="str">
        <f>HYPERLINK("http://www.intervolga.ru/blog/thoughts/kakaya-polovina-reklamy-ne-rabotaet-pomoshchnik-izmereniya-konversii-dlya-internet-magazinov-1s-bitr/","Какая половина рекламы не работает. Измеритель конверсии для интернет-магазинов 1С-Битрикс. Что, как и зачем?.")</f>
        <v>Какая половина рекламы не работает. Измеритель конверсии для интернет-магазинов 1С-Битрикс. Что, как и зачем?.</v>
      </c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>
      <c r="A55" s="34"/>
      <c r="B55" s="35" t="s">
        <v>62</v>
      </c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>
      <c r="A56" s="34"/>
      <c r="B56" s="36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>
      <c r="A57" s="31">
        <v>4.0</v>
      </c>
      <c r="B57" s="37" t="str">
        <f>HYPERLINK("http://www.intervolga.ru/blog/thoughts/nastroyka-tseley-dlya-otslezhivaniya-konversii-magazina-na-1s-bitriks-v-google-analytics-i-yandeks-m/","Настройка целей для отслеживания конверсии магазина на 1С-Битрикс в Google Analytics и Яндекс.Метрике")</f>
        <v>Настройка целей для отслеживания конверсии магазина на 1С-Битрикс в Google Analytics и Яндекс.Метрике</v>
      </c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>
      <c r="A58" s="34"/>
      <c r="B58" s="37" t="str">
        <f>HYPERLINK("http://www.intervolga.ru/blog/thoughts/video-pro-nastroyku-tseley-dlya-otslezhivaniya-konversii-magazina-na-1s-bitriks-v-google-analytics-i/","Видео по настройке целей.")</f>
        <v>Видео по настройке целей.</v>
      </c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>
      <c r="A59" s="34"/>
      <c r="B59" s="35" t="s">
        <v>63</v>
      </c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</row>
    <row r="60">
      <c r="A60" s="31"/>
      <c r="B60" s="35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</row>
    <row r="61">
      <c r="A61" s="31">
        <v>5.0</v>
      </c>
      <c r="B61" s="32" t="str">
        <f>HYPERLINK("http://www.intervolga.ru/blog/thoughts/eshop-dohod-calculator/","Калькулятор доходности интернет-магазина ")</f>
        <v>Калькулятор доходности интернет-магазина </v>
      </c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>
      <c r="A62" s="34"/>
      <c r="B62" s="36" t="s">
        <v>64</v>
      </c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</row>
    <row r="63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</row>
    <row r="64">
      <c r="A64" s="28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</row>
  </sheetData>
  <mergeCells count="22">
    <mergeCell ref="J17:R17"/>
    <mergeCell ref="B17:I17"/>
    <mergeCell ref="B1:D1"/>
    <mergeCell ref="B2:D2"/>
    <mergeCell ref="J18:M18"/>
    <mergeCell ref="Q18:R18"/>
    <mergeCell ref="N18:P18"/>
    <mergeCell ref="A40:L40"/>
    <mergeCell ref="A41:L41"/>
    <mergeCell ref="A42:L42"/>
    <mergeCell ref="A43:L43"/>
    <mergeCell ref="B55:L55"/>
    <mergeCell ref="B57:L57"/>
    <mergeCell ref="B52:L52"/>
    <mergeCell ref="B54:L54"/>
    <mergeCell ref="B59:L59"/>
    <mergeCell ref="B62:L62"/>
    <mergeCell ref="B61:L61"/>
    <mergeCell ref="B51:L51"/>
    <mergeCell ref="B48:L48"/>
    <mergeCell ref="B49:L49"/>
    <mergeCell ref="B58:L58"/>
  </mergeCells>
  <conditionalFormatting sqref="S20:S35">
    <cfRule type="containsText" dxfId="0" priority="1" operator="containsText" text="Лучший ROI">
      <formula>NOT(ISERROR(SEARCH(("Лучший ROI"),(S20))))</formula>
    </cfRule>
  </conditionalFormatting>
  <conditionalFormatting sqref="S20:S35">
    <cfRule type="containsText" dxfId="1" priority="2" operator="containsText" text="Худший ROI">
      <formula>NOT(ISERROR(SEARCH(("Худший ROI"),(S20))))</formula>
    </cfRule>
  </conditionalFormatting>
  <hyperlinks>
    <hyperlink r:id="rId1" ref="C45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63"/>
    <col customWidth="1" min="2" max="2" width="7.88"/>
    <col customWidth="1" hidden="1" min="3" max="3" width="7.63"/>
    <col customWidth="1" hidden="1" min="4" max="4" width="8.13"/>
    <col customWidth="1" hidden="1" min="5" max="5" width="7.75"/>
    <col customWidth="1" hidden="1" min="6" max="6" width="7.5"/>
    <col customWidth="1" min="7" max="7" width="7.63"/>
    <col customWidth="1" min="8" max="8" width="7.0"/>
    <col customWidth="1" min="9" max="9" width="9.13"/>
    <col customWidth="1" min="10" max="10" width="6.38"/>
    <col customWidth="1" hidden="1" min="11" max="13" width="8.63"/>
    <col customWidth="1" hidden="1" min="14" max="14" width="9.63"/>
    <col customWidth="1" hidden="1" min="15" max="15" width="9.13"/>
    <col customWidth="1" min="16" max="16" width="7.75"/>
    <col customWidth="1" min="17" max="17" width="6.88"/>
    <col customWidth="1" min="18" max="18" width="7.38"/>
    <col customWidth="1" min="19" max="19" width="28.75"/>
    <col customWidth="1" min="20" max="28" width="9.75"/>
  </cols>
  <sheetData>
    <row r="1">
      <c r="A1" s="1" t="s">
        <v>0</v>
      </c>
      <c r="B1" s="2"/>
      <c r="F1" s="1" t="s">
        <v>1</v>
      </c>
      <c r="G1" s="3">
        <f>R27</f>
        <v>1.156</v>
      </c>
      <c r="H1" s="4" t="str">
        <f>if(G1&lt;0,"Рекламная кампания убыточна",if(G1&lt;1,"Прибыль незначительна","Хорошая окупаемость"))</f>
        <v>Хорошая окупаемость</v>
      </c>
      <c r="I1" s="5"/>
      <c r="J1" s="5"/>
    </row>
    <row r="2">
      <c r="A2" s="1" t="s">
        <v>2</v>
      </c>
      <c r="B2" s="2"/>
    </row>
    <row r="4">
      <c r="A4" s="6" t="s">
        <v>3</v>
      </c>
      <c r="B4" s="7" t="s">
        <v>4</v>
      </c>
      <c r="D4" s="8" t="s">
        <v>5</v>
      </c>
      <c r="E4" s="9"/>
      <c r="F4" s="8" t="s">
        <v>6</v>
      </c>
    </row>
    <row r="5">
      <c r="A5" s="9" t="s">
        <v>7</v>
      </c>
      <c r="B5" s="10">
        <v>10000.0</v>
      </c>
      <c r="D5" s="11">
        <f>C27</f>
        <v>5450</v>
      </c>
      <c r="E5" s="9"/>
      <c r="F5" s="12">
        <f t="shared" ref="F5:F11" si="1">if(B5&gt;0,D5/B5,"")</f>
        <v>0.545</v>
      </c>
    </row>
    <row r="6">
      <c r="A6" s="9" t="s">
        <v>8</v>
      </c>
      <c r="B6" s="10">
        <v>1000.0</v>
      </c>
      <c r="D6" s="11">
        <f>D27</f>
        <v>0</v>
      </c>
      <c r="E6" s="9"/>
      <c r="F6" s="12">
        <f t="shared" si="1"/>
        <v>0</v>
      </c>
    </row>
    <row r="7">
      <c r="A7" s="9" t="s">
        <v>9</v>
      </c>
      <c r="B7" s="10">
        <v>100.0</v>
      </c>
      <c r="D7" s="11">
        <f>E27</f>
        <v>0</v>
      </c>
      <c r="E7" s="9"/>
      <c r="F7" s="12">
        <f t="shared" si="1"/>
        <v>0</v>
      </c>
    </row>
    <row r="8">
      <c r="A8" s="9" t="s">
        <v>10</v>
      </c>
      <c r="B8" s="10">
        <v>800.0</v>
      </c>
      <c r="D8" s="11">
        <f>F27</f>
        <v>180</v>
      </c>
      <c r="E8" s="9"/>
      <c r="F8" s="12">
        <f t="shared" si="1"/>
        <v>0.225</v>
      </c>
    </row>
    <row r="9">
      <c r="A9" s="9" t="s">
        <v>11</v>
      </c>
      <c r="B9" s="10">
        <v>750.0</v>
      </c>
      <c r="D9" s="11">
        <f>G27</f>
        <v>166</v>
      </c>
      <c r="E9" s="9"/>
      <c r="F9" s="12">
        <f t="shared" si="1"/>
        <v>0.2213333333</v>
      </c>
    </row>
    <row r="10">
      <c r="A10" s="9" t="s">
        <v>12</v>
      </c>
      <c r="B10" s="10">
        <v>1200000.0</v>
      </c>
      <c r="D10" s="11">
        <f>H27</f>
        <v>215600</v>
      </c>
      <c r="E10" s="9"/>
      <c r="F10" s="12">
        <f t="shared" si="1"/>
        <v>0.1796666667</v>
      </c>
    </row>
    <row r="11">
      <c r="A11" s="9" t="s">
        <v>13</v>
      </c>
      <c r="B11" s="10">
        <v>300000.0</v>
      </c>
      <c r="D11" s="11">
        <f>I27</f>
        <v>107800</v>
      </c>
      <c r="E11" s="9"/>
      <c r="F11" s="12">
        <f t="shared" si="1"/>
        <v>0.3593333333</v>
      </c>
    </row>
    <row r="12">
      <c r="A12" s="9"/>
      <c r="B12" s="9"/>
      <c r="C12" s="9"/>
      <c r="D12" s="9"/>
    </row>
    <row r="13">
      <c r="A13" s="1" t="s">
        <v>14</v>
      </c>
      <c r="B13" s="9"/>
      <c r="C13" s="9"/>
      <c r="D13" s="9"/>
    </row>
    <row r="14">
      <c r="A14" s="9" t="s">
        <v>15</v>
      </c>
      <c r="B14" s="10">
        <v>100000.0</v>
      </c>
      <c r="C14" s="9"/>
      <c r="D14" s="11">
        <f>B27</f>
        <v>50000</v>
      </c>
      <c r="F14" s="12">
        <f>if(B14&gt;0,D14/B14,"")</f>
        <v>0.5</v>
      </c>
    </row>
    <row r="15">
      <c r="A15" s="9"/>
      <c r="B15" s="9"/>
      <c r="C15" s="9"/>
      <c r="D15" s="9"/>
      <c r="R15" s="9"/>
    </row>
    <row r="16">
      <c r="A16" s="1" t="s">
        <v>16</v>
      </c>
      <c r="B16" s="9"/>
      <c r="C16" s="9"/>
      <c r="D16" s="9"/>
    </row>
    <row r="17">
      <c r="A17" s="13"/>
      <c r="B17" s="14" t="s">
        <v>17</v>
      </c>
      <c r="C17" s="15"/>
      <c r="D17" s="15"/>
      <c r="E17" s="15"/>
      <c r="F17" s="15"/>
      <c r="G17" s="15"/>
      <c r="H17" s="15"/>
      <c r="I17" s="16"/>
      <c r="J17" s="14" t="s">
        <v>18</v>
      </c>
      <c r="K17" s="15"/>
      <c r="L17" s="15"/>
      <c r="M17" s="15"/>
      <c r="N17" s="15"/>
      <c r="O17" s="15"/>
      <c r="P17" s="15"/>
      <c r="Q17" s="15"/>
      <c r="R17" s="16"/>
      <c r="S17" s="17" t="s">
        <v>19</v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>
      <c r="A18" s="13"/>
      <c r="B18" s="17"/>
      <c r="C18" s="17"/>
      <c r="D18" s="17"/>
      <c r="E18" s="17"/>
      <c r="F18" s="17"/>
      <c r="G18" s="17"/>
      <c r="H18" s="17"/>
      <c r="I18" s="17"/>
      <c r="J18" s="14" t="s">
        <v>20</v>
      </c>
      <c r="K18" s="15"/>
      <c r="L18" s="15"/>
      <c r="M18" s="16"/>
      <c r="N18" s="14"/>
      <c r="O18" s="15"/>
      <c r="P18" s="16"/>
      <c r="Q18" s="14" t="s">
        <v>1</v>
      </c>
      <c r="R18" s="16"/>
      <c r="S18" s="17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>
      <c r="A19" s="13" t="s">
        <v>21</v>
      </c>
      <c r="B19" s="17" t="s">
        <v>22</v>
      </c>
      <c r="C19" s="17" t="s">
        <v>23</v>
      </c>
      <c r="D19" s="17" t="s">
        <v>24</v>
      </c>
      <c r="E19" s="17" t="s">
        <v>25</v>
      </c>
      <c r="F19" s="17" t="s">
        <v>26</v>
      </c>
      <c r="G19" s="17" t="s">
        <v>27</v>
      </c>
      <c r="H19" s="17" t="s">
        <v>28</v>
      </c>
      <c r="I19" s="17" t="s">
        <v>13</v>
      </c>
      <c r="J19" s="17" t="s">
        <v>29</v>
      </c>
      <c r="K19" s="17" t="s">
        <v>30</v>
      </c>
      <c r="L19" s="17" t="s">
        <v>31</v>
      </c>
      <c r="M19" s="17" t="s">
        <v>32</v>
      </c>
      <c r="N19" s="17" t="s">
        <v>33</v>
      </c>
      <c r="O19" s="17" t="s">
        <v>34</v>
      </c>
      <c r="P19" s="17" t="s">
        <v>35</v>
      </c>
      <c r="Q19" s="17" t="s">
        <v>36</v>
      </c>
      <c r="R19" s="17" t="s">
        <v>37</v>
      </c>
      <c r="S19" s="17" t="s">
        <v>38</v>
      </c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>
      <c r="A20" s="19" t="s">
        <v>65</v>
      </c>
      <c r="B20" s="20">
        <v>12000.0</v>
      </c>
      <c r="C20" s="20">
        <v>2000.0</v>
      </c>
      <c r="D20" s="20"/>
      <c r="E20" s="20"/>
      <c r="F20" s="20">
        <v>20.0</v>
      </c>
      <c r="G20" s="20">
        <v>17.0</v>
      </c>
      <c r="H20" s="20">
        <f>G20*1300+100</f>
        <v>22200</v>
      </c>
      <c r="I20" s="20">
        <f t="shared" ref="I20:I22" si="2">H20/2</f>
        <v>11100</v>
      </c>
      <c r="J20" s="21">
        <f t="shared" ref="J20:J27" si="3">if(C20&gt;0,B20/C20,"")</f>
        <v>6</v>
      </c>
      <c r="K20" s="21" t="str">
        <f t="shared" ref="K20:K27" si="4">if(E20&gt;0,B20/E20,"")</f>
        <v/>
      </c>
      <c r="L20" s="21" t="str">
        <f t="shared" ref="L20:L27" si="5">if(D20&gt;0,B20/D20,"")</f>
        <v/>
      </c>
      <c r="M20" s="21">
        <f t="shared" ref="M20:M27" si="6">if(F20&gt;0,B20/F20,"")</f>
        <v>600</v>
      </c>
      <c r="N20" s="22">
        <f t="shared" ref="N20:N27" si="7">if(C20&gt;0,G20/C20,"")</f>
        <v>0.0085</v>
      </c>
      <c r="O20" s="22">
        <f t="shared" ref="O20:O27" si="8">if(F20&gt;0,(F20-G20)/F20,"")</f>
        <v>0.15</v>
      </c>
      <c r="P20" s="21">
        <f t="shared" ref="P20:P27" si="9">if(G20&gt;0,H20/G20,"")</f>
        <v>1305.882353</v>
      </c>
      <c r="Q20" s="22">
        <f t="shared" ref="Q20:Q27" si="10">if(B20&gt;0,(I20-B20)/B20,"")</f>
        <v>-0.075</v>
      </c>
      <c r="R20" s="22">
        <f t="shared" ref="R20:R25" si="11">if(B20&gt;0,(I20*(1+I$26/(I$27-$I$26))-B20)/B20,"")</f>
        <v>2.727663551</v>
      </c>
      <c r="S20" s="23" t="str">
        <f t="shared" ref="S20:S26" si="12">CONCATENATE(if(N20=min(N$20:N$26),"Худшая конверсия. ",""),if(N20=max(N$20:N$26),"Лучшая конверсия. ",""),if(Q20=min(Q$20:Q$26),"Худший ROI. ",""),if(Q20=max(Q$20:Q$26),"Лучший ROI. ",""),if(P20=min(P$20:P$26),"Наименьший средний чек. ",""),if(P20=max(P$20:P$26),"Наибольший средний чек. ",""),if(O20=min(O$20:O$26),"Наименьший процент отказа. ",""),if(O20=max(O$20:O$26),"Наибольший процент отказа. ",""),if(Q20&lt;0,"Отрицательный ROI, канал убыточен. ",""))</f>
        <v>Лучший ROI. Наибольший процент отказа. Отрицательный ROI, канал убыточен. </v>
      </c>
    </row>
    <row r="21">
      <c r="A21" s="38" t="s">
        <v>66</v>
      </c>
      <c r="B21" s="20">
        <v>20000.0</v>
      </c>
      <c r="C21" s="20">
        <v>3000.0</v>
      </c>
      <c r="D21" s="20"/>
      <c r="E21" s="20"/>
      <c r="F21" s="20">
        <v>11.0</v>
      </c>
      <c r="G21" s="20">
        <v>10.0</v>
      </c>
      <c r="H21" s="20">
        <f>G21*1300-100</f>
        <v>12900</v>
      </c>
      <c r="I21" s="20">
        <f t="shared" si="2"/>
        <v>6450</v>
      </c>
      <c r="J21" s="21">
        <f t="shared" si="3"/>
        <v>6.666666667</v>
      </c>
      <c r="K21" s="21" t="str">
        <f t="shared" si="4"/>
        <v/>
      </c>
      <c r="L21" s="21" t="str">
        <f t="shared" si="5"/>
        <v/>
      </c>
      <c r="M21" s="21">
        <f t="shared" si="6"/>
        <v>1818.181818</v>
      </c>
      <c r="N21" s="22">
        <f t="shared" si="7"/>
        <v>0.003333333333</v>
      </c>
      <c r="O21" s="22">
        <f t="shared" si="8"/>
        <v>0.09090909091</v>
      </c>
      <c r="P21" s="21">
        <f t="shared" si="9"/>
        <v>1290</v>
      </c>
      <c r="Q21" s="22">
        <f t="shared" si="10"/>
        <v>-0.6775</v>
      </c>
      <c r="R21" s="22">
        <f t="shared" si="11"/>
        <v>0.2996448598</v>
      </c>
      <c r="S21" s="23" t="str">
        <f t="shared" si="12"/>
        <v>Худшая конверсия. Худший ROI. Наименьший средний чек. Отрицательный ROI, канал убыточен. </v>
      </c>
    </row>
    <row r="22">
      <c r="A22" s="19" t="s">
        <v>67</v>
      </c>
      <c r="B22" s="20">
        <v>18000.0</v>
      </c>
      <c r="C22" s="20">
        <v>450.0</v>
      </c>
      <c r="D22" s="20"/>
      <c r="E22" s="20"/>
      <c r="F22" s="20">
        <v>14.0</v>
      </c>
      <c r="G22" s="20">
        <v>14.0</v>
      </c>
      <c r="H22" s="20">
        <f>G22*1300+200</f>
        <v>18400</v>
      </c>
      <c r="I22" s="20">
        <f t="shared" si="2"/>
        <v>9200</v>
      </c>
      <c r="J22" s="21">
        <f t="shared" si="3"/>
        <v>40</v>
      </c>
      <c r="K22" s="21" t="str">
        <f t="shared" si="4"/>
        <v/>
      </c>
      <c r="L22" s="21" t="str">
        <f t="shared" si="5"/>
        <v/>
      </c>
      <c r="M22" s="21">
        <f t="shared" si="6"/>
        <v>1285.714286</v>
      </c>
      <c r="N22" s="22">
        <f t="shared" si="7"/>
        <v>0.03111111111</v>
      </c>
      <c r="O22" s="22">
        <f t="shared" si="8"/>
        <v>0</v>
      </c>
      <c r="P22" s="21">
        <f t="shared" si="9"/>
        <v>1314.285714</v>
      </c>
      <c r="Q22" s="22">
        <f t="shared" si="10"/>
        <v>-0.4888888889</v>
      </c>
      <c r="R22" s="22">
        <f t="shared" si="11"/>
        <v>1.05973001</v>
      </c>
      <c r="S22" s="23" t="str">
        <f t="shared" si="12"/>
        <v>Лучшая конверсия. Наибольший средний чек. Наименьший процент отказа. Отрицательный ROI, канал убыточен. </v>
      </c>
    </row>
    <row r="23">
      <c r="A23" s="19"/>
      <c r="B23" s="20"/>
      <c r="C23" s="20"/>
      <c r="D23" s="20"/>
      <c r="E23" s="20"/>
      <c r="F23" s="20"/>
      <c r="G23" s="20"/>
      <c r="H23" s="20"/>
      <c r="I23" s="20"/>
      <c r="J23" s="21" t="str">
        <f t="shared" si="3"/>
        <v/>
      </c>
      <c r="K23" s="21" t="str">
        <f t="shared" si="4"/>
        <v/>
      </c>
      <c r="L23" s="21" t="str">
        <f t="shared" si="5"/>
        <v/>
      </c>
      <c r="M23" s="21" t="str">
        <f t="shared" si="6"/>
        <v/>
      </c>
      <c r="N23" s="22" t="str">
        <f t="shared" si="7"/>
        <v/>
      </c>
      <c r="O23" s="22" t="str">
        <f t="shared" si="8"/>
        <v/>
      </c>
      <c r="P23" s="21" t="str">
        <f t="shared" si="9"/>
        <v/>
      </c>
      <c r="Q23" s="22" t="str">
        <f t="shared" si="10"/>
        <v/>
      </c>
      <c r="R23" s="22" t="str">
        <f t="shared" si="11"/>
        <v/>
      </c>
      <c r="S23" s="23" t="str">
        <f t="shared" si="12"/>
        <v/>
      </c>
    </row>
    <row r="24">
      <c r="A24" s="25"/>
      <c r="B24" s="20"/>
      <c r="C24" s="24"/>
      <c r="D24" s="24"/>
      <c r="E24" s="24"/>
      <c r="F24" s="20"/>
      <c r="G24" s="20"/>
      <c r="H24" s="20"/>
      <c r="I24" s="20"/>
      <c r="J24" s="21" t="str">
        <f t="shared" si="3"/>
        <v/>
      </c>
      <c r="K24" s="21" t="str">
        <f t="shared" si="4"/>
        <v/>
      </c>
      <c r="L24" s="21" t="str">
        <f t="shared" si="5"/>
        <v/>
      </c>
      <c r="M24" s="21" t="str">
        <f t="shared" si="6"/>
        <v/>
      </c>
      <c r="N24" s="22" t="str">
        <f t="shared" si="7"/>
        <v/>
      </c>
      <c r="O24" s="22" t="str">
        <f t="shared" si="8"/>
        <v/>
      </c>
      <c r="P24" s="21" t="str">
        <f t="shared" si="9"/>
        <v/>
      </c>
      <c r="Q24" s="22" t="str">
        <f t="shared" si="10"/>
        <v/>
      </c>
      <c r="R24" s="22" t="str">
        <f t="shared" si="11"/>
        <v/>
      </c>
      <c r="S24" s="23" t="str">
        <f t="shared" si="12"/>
        <v/>
      </c>
    </row>
    <row r="25">
      <c r="A25" s="25"/>
      <c r="B25" s="20"/>
      <c r="C25" s="24"/>
      <c r="D25" s="24"/>
      <c r="E25" s="24"/>
      <c r="F25" s="20"/>
      <c r="G25" s="20"/>
      <c r="H25" s="20"/>
      <c r="I25" s="20"/>
      <c r="J25" s="21" t="str">
        <f t="shared" si="3"/>
        <v/>
      </c>
      <c r="K25" s="21" t="str">
        <f t="shared" si="4"/>
        <v/>
      </c>
      <c r="L25" s="21" t="str">
        <f t="shared" si="5"/>
        <v/>
      </c>
      <c r="M25" s="21" t="str">
        <f t="shared" si="6"/>
        <v/>
      </c>
      <c r="N25" s="22" t="str">
        <f t="shared" si="7"/>
        <v/>
      </c>
      <c r="O25" s="22" t="str">
        <f t="shared" si="8"/>
        <v/>
      </c>
      <c r="P25" s="21" t="str">
        <f t="shared" si="9"/>
        <v/>
      </c>
      <c r="Q25" s="22" t="str">
        <f t="shared" si="10"/>
        <v/>
      </c>
      <c r="R25" s="22" t="str">
        <f t="shared" si="11"/>
        <v/>
      </c>
      <c r="S25" s="23" t="str">
        <f t="shared" si="12"/>
        <v/>
      </c>
    </row>
    <row r="26">
      <c r="A26" s="19" t="s">
        <v>50</v>
      </c>
      <c r="B26" s="20"/>
      <c r="C26" s="24"/>
      <c r="D26" s="24"/>
      <c r="E26" s="24"/>
      <c r="F26" s="20">
        <v>135.0</v>
      </c>
      <c r="G26" s="20">
        <v>125.0</v>
      </c>
      <c r="H26" s="20">
        <f>G26*1300-400</f>
        <v>162100</v>
      </c>
      <c r="I26" s="20">
        <f>H26/2</f>
        <v>81050</v>
      </c>
      <c r="J26" s="21" t="str">
        <f t="shared" si="3"/>
        <v/>
      </c>
      <c r="K26" s="21" t="str">
        <f t="shared" si="4"/>
        <v/>
      </c>
      <c r="L26" s="21" t="str">
        <f t="shared" si="5"/>
        <v/>
      </c>
      <c r="M26" s="21">
        <f t="shared" si="6"/>
        <v>0</v>
      </c>
      <c r="N26" s="22" t="str">
        <f t="shared" si="7"/>
        <v/>
      </c>
      <c r="O26" s="22">
        <f t="shared" si="8"/>
        <v>0.07407407407</v>
      </c>
      <c r="P26" s="21">
        <f t="shared" si="9"/>
        <v>1296.8</v>
      </c>
      <c r="Q26" s="22" t="str">
        <f t="shared" si="10"/>
        <v/>
      </c>
      <c r="R26" s="22" t="str">
        <f t="shared" ref="R26:R27" si="14">if(B26&gt;0,(I26-B26)/B26,"")</f>
        <v/>
      </c>
      <c r="S26" s="23" t="str">
        <f t="shared" si="12"/>
        <v/>
      </c>
    </row>
    <row r="27">
      <c r="A27" s="13" t="s">
        <v>51</v>
      </c>
      <c r="B27" s="26">
        <f t="shared" ref="B27:I27" si="13">sum(B20:B26)</f>
        <v>50000</v>
      </c>
      <c r="C27" s="26">
        <f t="shared" si="13"/>
        <v>5450</v>
      </c>
      <c r="D27" s="26">
        <f t="shared" si="13"/>
        <v>0</v>
      </c>
      <c r="E27" s="26">
        <f t="shared" si="13"/>
        <v>0</v>
      </c>
      <c r="F27" s="26">
        <f t="shared" si="13"/>
        <v>180</v>
      </c>
      <c r="G27" s="26">
        <f t="shared" si="13"/>
        <v>166</v>
      </c>
      <c r="H27" s="26">
        <f t="shared" si="13"/>
        <v>215600</v>
      </c>
      <c r="I27" s="26">
        <f t="shared" si="13"/>
        <v>107800</v>
      </c>
      <c r="J27" s="21">
        <f t="shared" si="3"/>
        <v>9.174311927</v>
      </c>
      <c r="K27" s="21" t="str">
        <f t="shared" si="4"/>
        <v/>
      </c>
      <c r="L27" s="21" t="str">
        <f t="shared" si="5"/>
        <v/>
      </c>
      <c r="M27" s="21">
        <f t="shared" si="6"/>
        <v>277.7777778</v>
      </c>
      <c r="N27" s="22">
        <f t="shared" si="7"/>
        <v>0.0304587156</v>
      </c>
      <c r="O27" s="22">
        <f t="shared" si="8"/>
        <v>0.07777777778</v>
      </c>
      <c r="P27" s="21">
        <f t="shared" si="9"/>
        <v>1298.795181</v>
      </c>
      <c r="Q27" s="22">
        <f t="shared" si="10"/>
        <v>1.156</v>
      </c>
      <c r="R27" s="22">
        <f t="shared" si="14"/>
        <v>1.156</v>
      </c>
      <c r="S27" s="27"/>
    </row>
    <row r="31">
      <c r="A31" s="1" t="s">
        <v>52</v>
      </c>
      <c r="B31" s="9"/>
      <c r="D31" s="9"/>
      <c r="E31" s="9"/>
    </row>
    <row r="32">
      <c r="A32" s="28" t="s">
        <v>53</v>
      </c>
      <c r="N32" s="9"/>
      <c r="P32" s="9"/>
      <c r="Q32" s="9"/>
    </row>
    <row r="33">
      <c r="A33" s="28" t="s">
        <v>54</v>
      </c>
      <c r="M33" s="9"/>
    </row>
    <row r="34">
      <c r="A34" s="28" t="s">
        <v>55</v>
      </c>
    </row>
    <row r="35">
      <c r="A35" s="28" t="s">
        <v>56</v>
      </c>
    </row>
    <row r="36">
      <c r="A36" s="9"/>
    </row>
    <row r="37">
      <c r="A37" s="9" t="s">
        <v>57</v>
      </c>
      <c r="C37" s="29" t="s">
        <v>58</v>
      </c>
    </row>
    <row r="38">
      <c r="A38" s="9" t="s">
        <v>59</v>
      </c>
    </row>
    <row r="39">
      <c r="A39" s="30"/>
    </row>
    <row r="40">
      <c r="A40" s="31">
        <v>1.0</v>
      </c>
      <c r="B40" s="32" t="str">
        <f>HYPERLINK("http://www.intervolga.ru/blog/thoughts/eshop-okupaemost-internet-magazina/","Прогнозная модель окупаемости интернет-магазина")</f>
        <v>Прогнозная модель окупаемости интернет-магазина</v>
      </c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>
      <c r="A41" s="34"/>
      <c r="B41" s="35" t="s">
        <v>60</v>
      </c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>
      <c r="A42" s="34"/>
      <c r="B42" s="35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>
      <c r="A43" s="31">
        <v>2.0</v>
      </c>
      <c r="B43" s="32" t="str">
        <f>HYPERLINK("http://www.intervolga.ru/blog/thoughts/ya-znayu-kakaya-polovina-trat-na-reklamu-raskhoduetsya-zrya/","Я знаю, какая половина трат на рекламу расходуется зря.")</f>
        <v>Я знаю, какая половина трат на рекламу расходуется зря.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>
      <c r="A44" s="34"/>
      <c r="B44" s="36" t="s">
        <v>61</v>
      </c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>
      <c r="A45" s="31"/>
      <c r="B45" s="35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>
      <c r="A46" s="31">
        <v>3.0</v>
      </c>
      <c r="B46" s="32" t="str">
        <f>HYPERLINK("http://www.intervolga.ru/blog/thoughts/kakaya-polovina-reklamy-ne-rabotaet-pomoshchnik-izmereniya-konversii-dlya-internet-magazinov-1s-bitr/","Какая половина рекламы не работает. Измеритель конверсии для интернет-магазинов 1С-Битрикс. Что, как и зачем?.")</f>
        <v>Какая половина рекламы не работает. Измеритель конверсии для интернет-магазинов 1С-Битрикс. Что, как и зачем?.</v>
      </c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>
      <c r="A47" s="34"/>
      <c r="B47" s="35" t="s">
        <v>62</v>
      </c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>
      <c r="A48" s="34"/>
      <c r="B48" s="36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>
      <c r="A49" s="31">
        <v>4.0</v>
      </c>
      <c r="B49" s="37" t="str">
        <f>HYPERLINK("http://www.intervolga.ru/blog/thoughts/nastroyka-tseley-dlya-otslezhivaniya-konversii-magazina-na-1s-bitriks-v-google-analytics-i-yandeks-m/","Настройка целей для отслеживания конверсии магазина на 1С-Битрикс в Google Analytics и Яндекс.Метрике")</f>
        <v>Настройка целей для отслеживания конверсии магазина на 1С-Битрикс в Google Analytics и Яндекс.Метрике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>
      <c r="A50" s="34"/>
      <c r="B50" s="37" t="str">
        <f>HYPERLINK("http://www.intervolga.ru/blog/thoughts/video-pro-nastroyku-tseley-dlya-otslezhivaniya-konversii-magazina-na-1s-bitriks-v-google-analytics-i/","Видео по настройке целей.")</f>
        <v>Видео по настройке целей.</v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>
      <c r="A51" s="34"/>
      <c r="B51" s="35" t="s">
        <v>63</v>
      </c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>
      <c r="A52" s="31"/>
      <c r="B52" s="35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>
      <c r="A53" s="31">
        <v>5.0</v>
      </c>
      <c r="B53" s="32" t="str">
        <f>HYPERLINK("http://www.intervolga.ru/blog/thoughts/eshop-dohod-calculator/","Калькулятор доходности интернет-магазина ")</f>
        <v>Калькулятор доходности интернет-магазина </v>
      </c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>
      <c r="A54" s="34"/>
      <c r="B54" s="36" t="s">
        <v>64</v>
      </c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>
      <c r="A56" s="28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</sheetData>
  <mergeCells count="22">
    <mergeCell ref="J17:R17"/>
    <mergeCell ref="J18:M18"/>
    <mergeCell ref="Q18:R18"/>
    <mergeCell ref="N18:P18"/>
    <mergeCell ref="B17:I17"/>
    <mergeCell ref="B1:D1"/>
    <mergeCell ref="B2:D2"/>
    <mergeCell ref="B47:L47"/>
    <mergeCell ref="B49:L49"/>
    <mergeCell ref="B51:L51"/>
    <mergeCell ref="B50:L50"/>
    <mergeCell ref="B54:L54"/>
    <mergeCell ref="B53:L53"/>
    <mergeCell ref="B46:L46"/>
    <mergeCell ref="A32:L32"/>
    <mergeCell ref="A33:L33"/>
    <mergeCell ref="A34:L34"/>
    <mergeCell ref="A35:L35"/>
    <mergeCell ref="B43:L43"/>
    <mergeCell ref="B40:L40"/>
    <mergeCell ref="B41:L41"/>
    <mergeCell ref="B44:L44"/>
  </mergeCells>
  <conditionalFormatting sqref="S20:S27">
    <cfRule type="containsText" dxfId="0" priority="1" operator="containsText" text="Лучший ROI">
      <formula>NOT(ISERROR(SEARCH(("Лучший ROI"),(S20))))</formula>
    </cfRule>
  </conditionalFormatting>
  <conditionalFormatting sqref="S20:S27">
    <cfRule type="containsText" dxfId="1" priority="2" operator="containsText" text="Худший ROI">
      <formula>NOT(ISERROR(SEARCH(("Худший ROI"),(S20))))</formula>
    </cfRule>
  </conditionalFormatting>
  <hyperlinks>
    <hyperlink r:id="rId1" ref="A21"/>
    <hyperlink r:id="rId2" ref="C37"/>
  </hyperlin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38"/>
    <col customWidth="1" min="2" max="2" width="7.88"/>
    <col customWidth="1" min="3" max="3" width="7.63"/>
    <col customWidth="1" min="4" max="4" width="8.13"/>
    <col customWidth="1" min="5" max="5" width="7.75"/>
    <col customWidth="1" min="6" max="6" width="7.5"/>
    <col customWidth="1" min="7" max="7" width="7.63"/>
    <col customWidth="1" min="8" max="8" width="7.0"/>
    <col customWidth="1" min="9" max="9" width="9.13"/>
    <col customWidth="1" min="10" max="10" width="6.38"/>
    <col customWidth="1" min="11" max="13" width="8.63"/>
    <col customWidth="1" min="14" max="14" width="9.63"/>
    <col customWidth="1" min="15" max="15" width="9.13"/>
    <col customWidth="1" min="16" max="16" width="7.75"/>
    <col customWidth="1" min="17" max="17" width="6.88"/>
    <col customWidth="1" min="18" max="18" width="7.38"/>
    <col customWidth="1" min="19" max="19" width="28.75"/>
    <col customWidth="1" min="20" max="28" width="9.75"/>
  </cols>
  <sheetData>
    <row r="1">
      <c r="A1" s="1" t="s">
        <v>0</v>
      </c>
      <c r="B1" s="39" t="s">
        <v>68</v>
      </c>
      <c r="F1" s="1" t="s">
        <v>1</v>
      </c>
      <c r="G1" s="3">
        <f>R29</f>
        <v>-0.9231330394</v>
      </c>
      <c r="H1" s="4" t="str">
        <f>if(G1&lt;0,"Рекламная кампания убыточна",if(G1&lt;1,"Прибыль незначительна","Хорошая окупаемость"))</f>
        <v>Рекламная кампания убыточна</v>
      </c>
      <c r="I1" s="5"/>
      <c r="J1" s="5"/>
    </row>
    <row r="2">
      <c r="A2" s="1" t="s">
        <v>2</v>
      </c>
      <c r="B2" s="39" t="s">
        <v>69</v>
      </c>
    </row>
    <row r="4">
      <c r="A4" s="6" t="s">
        <v>3</v>
      </c>
      <c r="B4" s="7" t="s">
        <v>4</v>
      </c>
      <c r="D4" s="8" t="s">
        <v>5</v>
      </c>
      <c r="E4" s="9"/>
      <c r="F4" s="8" t="s">
        <v>6</v>
      </c>
    </row>
    <row r="5">
      <c r="A5" s="9" t="s">
        <v>7</v>
      </c>
      <c r="B5" s="10">
        <v>6000.0</v>
      </c>
      <c r="D5" s="11">
        <f>C29</f>
        <v>3729</v>
      </c>
      <c r="E5" s="9"/>
      <c r="F5" s="12">
        <f t="shared" ref="F5:F11" si="1">if(B5&gt;0,D5/B5,"")</f>
        <v>0.6215</v>
      </c>
    </row>
    <row r="6">
      <c r="A6" s="9" t="s">
        <v>8</v>
      </c>
      <c r="B6" s="10"/>
      <c r="D6" s="11">
        <f>D29</f>
        <v>0</v>
      </c>
      <c r="E6" s="9"/>
      <c r="F6" s="12" t="str">
        <f t="shared" si="1"/>
        <v/>
      </c>
    </row>
    <row r="7">
      <c r="A7" s="9" t="s">
        <v>9</v>
      </c>
      <c r="B7" s="10"/>
      <c r="D7" s="11">
        <f>E29</f>
        <v>0</v>
      </c>
      <c r="E7" s="9"/>
      <c r="F7" s="12" t="str">
        <f t="shared" si="1"/>
        <v/>
      </c>
    </row>
    <row r="8">
      <c r="A8" s="9" t="s">
        <v>10</v>
      </c>
      <c r="B8" s="10">
        <v>70.0</v>
      </c>
      <c r="D8" s="11">
        <f>F29</f>
        <v>28</v>
      </c>
      <c r="E8" s="9"/>
      <c r="F8" s="12">
        <f t="shared" si="1"/>
        <v>0.4</v>
      </c>
    </row>
    <row r="9">
      <c r="A9" s="9" t="s">
        <v>11</v>
      </c>
      <c r="B9" s="10">
        <v>60.0</v>
      </c>
      <c r="D9" s="11">
        <f>G29</f>
        <v>21</v>
      </c>
      <c r="E9" s="9"/>
      <c r="F9" s="12">
        <f t="shared" si="1"/>
        <v>0.35</v>
      </c>
    </row>
    <row r="10">
      <c r="A10" s="9" t="s">
        <v>12</v>
      </c>
      <c r="B10" s="10">
        <f>B9*2500</f>
        <v>150000</v>
      </c>
      <c r="D10" s="11">
        <f>H29</f>
        <v>33823</v>
      </c>
      <c r="E10" s="9"/>
      <c r="F10" s="12">
        <f t="shared" si="1"/>
        <v>0.2254866667</v>
      </c>
    </row>
    <row r="11">
      <c r="A11" s="9" t="s">
        <v>13</v>
      </c>
      <c r="B11" s="10">
        <f>B10*0.15</f>
        <v>22500</v>
      </c>
      <c r="D11" s="11">
        <f>I29</f>
        <v>5073.45</v>
      </c>
      <c r="E11" s="9"/>
      <c r="F11" s="12">
        <f t="shared" si="1"/>
        <v>0.2254866667</v>
      </c>
    </row>
    <row r="12">
      <c r="A12" s="9"/>
      <c r="B12" s="9"/>
      <c r="C12" s="9"/>
      <c r="D12" s="9"/>
    </row>
    <row r="13">
      <c r="A13" s="1" t="s">
        <v>14</v>
      </c>
      <c r="B13" s="9"/>
      <c r="C13" s="9"/>
      <c r="D13" s="9"/>
    </row>
    <row r="14">
      <c r="A14" s="9" t="s">
        <v>15</v>
      </c>
      <c r="B14" s="10">
        <v>100000.0</v>
      </c>
      <c r="C14" s="9"/>
      <c r="D14" s="11">
        <f>B29</f>
        <v>66003</v>
      </c>
      <c r="F14" s="12">
        <f>if(B14&gt;0,D14/B14,"")</f>
        <v>0.66003</v>
      </c>
    </row>
    <row r="15">
      <c r="A15" s="9"/>
      <c r="B15" s="9"/>
      <c r="C15" s="9"/>
      <c r="D15" s="9"/>
      <c r="R15" s="9"/>
    </row>
    <row r="16">
      <c r="A16" s="1" t="s">
        <v>16</v>
      </c>
      <c r="B16" s="9"/>
      <c r="C16" s="9"/>
      <c r="D16" s="9"/>
    </row>
    <row r="17">
      <c r="A17" s="13"/>
      <c r="B17" s="14" t="s">
        <v>17</v>
      </c>
      <c r="C17" s="15"/>
      <c r="D17" s="15"/>
      <c r="E17" s="15"/>
      <c r="F17" s="15"/>
      <c r="G17" s="15"/>
      <c r="H17" s="15"/>
      <c r="I17" s="16"/>
      <c r="J17" s="14" t="s">
        <v>18</v>
      </c>
      <c r="K17" s="15"/>
      <c r="L17" s="15"/>
      <c r="M17" s="15"/>
      <c r="N17" s="15"/>
      <c r="O17" s="15"/>
      <c r="P17" s="15"/>
      <c r="Q17" s="15"/>
      <c r="R17" s="16"/>
      <c r="S17" s="17" t="s">
        <v>19</v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>
      <c r="A18" s="13"/>
      <c r="B18" s="17"/>
      <c r="C18" s="17"/>
      <c r="D18" s="17"/>
      <c r="E18" s="17"/>
      <c r="F18" s="17"/>
      <c r="G18" s="17"/>
      <c r="H18" s="17"/>
      <c r="I18" s="17"/>
      <c r="J18" s="14" t="s">
        <v>20</v>
      </c>
      <c r="K18" s="15"/>
      <c r="L18" s="15"/>
      <c r="M18" s="16"/>
      <c r="N18" s="14"/>
      <c r="O18" s="15"/>
      <c r="P18" s="16"/>
      <c r="Q18" s="14" t="s">
        <v>1</v>
      </c>
      <c r="R18" s="16"/>
      <c r="S18" s="17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>
      <c r="A19" s="13" t="s">
        <v>21</v>
      </c>
      <c r="B19" s="17" t="s">
        <v>22</v>
      </c>
      <c r="C19" s="17" t="s">
        <v>23</v>
      </c>
      <c r="D19" s="17" t="s">
        <v>24</v>
      </c>
      <c r="E19" s="17" t="s">
        <v>25</v>
      </c>
      <c r="F19" s="17" t="s">
        <v>26</v>
      </c>
      <c r="G19" s="17" t="s">
        <v>27</v>
      </c>
      <c r="H19" s="17" t="s">
        <v>28</v>
      </c>
      <c r="I19" s="17" t="s">
        <v>13</v>
      </c>
      <c r="J19" s="17" t="s">
        <v>29</v>
      </c>
      <c r="K19" s="17" t="s">
        <v>30</v>
      </c>
      <c r="L19" s="17" t="s">
        <v>31</v>
      </c>
      <c r="M19" s="17" t="s">
        <v>32</v>
      </c>
      <c r="N19" s="17" t="s">
        <v>33</v>
      </c>
      <c r="O19" s="17" t="s">
        <v>34</v>
      </c>
      <c r="P19" s="17" t="s">
        <v>35</v>
      </c>
      <c r="Q19" s="17" t="s">
        <v>36</v>
      </c>
      <c r="R19" s="17" t="s">
        <v>37</v>
      </c>
      <c r="S19" s="17" t="s">
        <v>38</v>
      </c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>
      <c r="A20" s="19" t="s">
        <v>70</v>
      </c>
      <c r="B20" s="20">
        <v>6900.0</v>
      </c>
      <c r="C20" s="20">
        <v>761.0</v>
      </c>
      <c r="D20" s="20"/>
      <c r="E20" s="20"/>
      <c r="F20" s="20">
        <v>2.0</v>
      </c>
      <c r="G20" s="20">
        <v>1.0</v>
      </c>
      <c r="H20" s="20">
        <v>3465.0</v>
      </c>
      <c r="I20" s="20">
        <f>H20*0.15</f>
        <v>519.75</v>
      </c>
      <c r="J20" s="21">
        <f t="shared" ref="J20:J29" si="2">if(C20&gt;0,B20/C20,"")</f>
        <v>9.067017083</v>
      </c>
      <c r="K20" s="21" t="str">
        <f t="shared" ref="K20:K29" si="3">if(E20&gt;0,B20/E20,"")</f>
        <v/>
      </c>
      <c r="L20" s="21" t="str">
        <f t="shared" ref="L20:L29" si="4">if(D20&gt;0,B20/D20,"")</f>
        <v/>
      </c>
      <c r="M20" s="21">
        <f t="shared" ref="M20:M29" si="5">if(F20&gt;0,B20/F20,"")</f>
        <v>3450</v>
      </c>
      <c r="N20" s="22">
        <f t="shared" ref="N20:N29" si="6">if(C20&gt;0,G20/C20,"")</f>
        <v>0.001314060447</v>
      </c>
      <c r="O20" s="22">
        <f t="shared" ref="O20:O29" si="7">if(F20&gt;0,(F20-G20)/F20,"")</f>
        <v>0.5</v>
      </c>
      <c r="P20" s="21">
        <f t="shared" ref="P20:P29" si="8">if(G20&gt;0,H20/G20,"")</f>
        <v>3465</v>
      </c>
      <c r="Q20" s="22">
        <f t="shared" ref="Q20:Q29" si="9">if(B20&gt;0,(I20-B20)/B20,"")</f>
        <v>-0.924673913</v>
      </c>
      <c r="R20" s="22">
        <f t="shared" ref="R20:R27" si="10">if(B20&gt;0,(I20*(1+I$28/(I$29-$I$28))-B20)/B20,"")</f>
        <v>-0.863046055</v>
      </c>
      <c r="S20" s="40" t="str">
        <f t="shared" ref="S20:S28" si="11">CONCATENATE(if(N20=min(N$20:N$28),"Худшая конверсия. ",""),if(N20=max(N$20:N$28),"Лучшая конверсия. ",""),if(Q20=min(Q$20:Q$28),"Худший ROI. ",""),if(Q20=max(Q$20:Q$28),"Лучший ROI. ",""),if(P20=min(P$20:P$28),"Наименьший средний чек. ",""),if(P20=max(P$20:P$28),"Наибольший средний чек. ",""),if(O20=min(O$20:O$28),"Наименьший процент отказа. ",""),if(O20=max(O$20:O$28),"Наибольший процент отказа. ",""),if(Q20&lt;0,"Отрицательный ROI, канал убыточен. ",""))</f>
        <v>Наибольший средний чек. Наибольший процент отказа. Отрицательный ROI, канал убыточен. </v>
      </c>
    </row>
    <row r="21">
      <c r="A21" s="19" t="s">
        <v>71</v>
      </c>
      <c r="B21" s="20">
        <v>5070.0</v>
      </c>
      <c r="C21" s="20">
        <v>368.0</v>
      </c>
      <c r="D21" s="20"/>
      <c r="E21" s="20"/>
      <c r="F21" s="20"/>
      <c r="G21" s="20"/>
      <c r="H21" s="20"/>
      <c r="I21" s="20"/>
      <c r="J21" s="21">
        <f t="shared" si="2"/>
        <v>13.77717391</v>
      </c>
      <c r="K21" s="21" t="str">
        <f t="shared" si="3"/>
        <v/>
      </c>
      <c r="L21" s="21" t="str">
        <f t="shared" si="4"/>
        <v/>
      </c>
      <c r="M21" s="21" t="str">
        <f t="shared" si="5"/>
        <v/>
      </c>
      <c r="N21" s="22">
        <f t="shared" si="6"/>
        <v>0</v>
      </c>
      <c r="O21" s="22" t="str">
        <f t="shared" si="7"/>
        <v/>
      </c>
      <c r="P21" s="21" t="str">
        <f t="shared" si="8"/>
        <v/>
      </c>
      <c r="Q21" s="22">
        <f t="shared" si="9"/>
        <v>-1</v>
      </c>
      <c r="R21" s="22">
        <f t="shared" si="10"/>
        <v>-1</v>
      </c>
      <c r="S21" s="40" t="str">
        <f t="shared" si="11"/>
        <v>Худшая конверсия. Худший ROI. Отрицательный ROI, канал убыточен. </v>
      </c>
    </row>
    <row r="22">
      <c r="A22" s="19" t="s">
        <v>72</v>
      </c>
      <c r="B22" s="20">
        <v>5307.0</v>
      </c>
      <c r="C22" s="20">
        <v>310.0</v>
      </c>
      <c r="D22" s="20"/>
      <c r="E22" s="20"/>
      <c r="F22" s="20"/>
      <c r="G22" s="20"/>
      <c r="H22" s="20"/>
      <c r="I22" s="20"/>
      <c r="J22" s="21">
        <f t="shared" si="2"/>
        <v>17.11935484</v>
      </c>
      <c r="K22" s="21" t="str">
        <f t="shared" si="3"/>
        <v/>
      </c>
      <c r="L22" s="21" t="str">
        <f t="shared" si="4"/>
        <v/>
      </c>
      <c r="M22" s="21" t="str">
        <f t="shared" si="5"/>
        <v/>
      </c>
      <c r="N22" s="22">
        <f t="shared" si="6"/>
        <v>0</v>
      </c>
      <c r="O22" s="22" t="str">
        <f t="shared" si="7"/>
        <v/>
      </c>
      <c r="P22" s="21" t="str">
        <f t="shared" si="8"/>
        <v/>
      </c>
      <c r="Q22" s="22">
        <f t="shared" si="9"/>
        <v>-1</v>
      </c>
      <c r="R22" s="22">
        <f t="shared" si="10"/>
        <v>-1</v>
      </c>
      <c r="S22" s="40" t="str">
        <f t="shared" si="11"/>
        <v>Худшая конверсия. Худший ROI. Отрицательный ROI, канал убыточен. </v>
      </c>
    </row>
    <row r="23">
      <c r="A23" s="19" t="s">
        <v>65</v>
      </c>
      <c r="B23" s="20">
        <v>38700.0</v>
      </c>
      <c r="C23" s="20">
        <v>1228.0</v>
      </c>
      <c r="D23" s="20"/>
      <c r="E23" s="20"/>
      <c r="F23" s="20">
        <v>5.0</v>
      </c>
      <c r="G23" s="20">
        <v>4.0</v>
      </c>
      <c r="H23" s="20">
        <v>4287.0</v>
      </c>
      <c r="I23" s="20">
        <f t="shared" ref="I23:I24" si="12">H23*0.15</f>
        <v>643.05</v>
      </c>
      <c r="J23" s="21">
        <f t="shared" si="2"/>
        <v>31.51465798</v>
      </c>
      <c r="K23" s="21" t="str">
        <f t="shared" si="3"/>
        <v/>
      </c>
      <c r="L23" s="21" t="str">
        <f t="shared" si="4"/>
        <v/>
      </c>
      <c r="M23" s="21">
        <f t="shared" si="5"/>
        <v>7740</v>
      </c>
      <c r="N23" s="22">
        <f t="shared" si="6"/>
        <v>0.00325732899</v>
      </c>
      <c r="O23" s="22">
        <f t="shared" si="7"/>
        <v>0.2</v>
      </c>
      <c r="P23" s="21">
        <f t="shared" si="8"/>
        <v>1071.75</v>
      </c>
      <c r="Q23" s="22">
        <f t="shared" si="9"/>
        <v>-0.9833837209</v>
      </c>
      <c r="R23" s="22">
        <f t="shared" si="10"/>
        <v>-0.9697891519</v>
      </c>
      <c r="S23" s="40" t="str">
        <f t="shared" si="11"/>
        <v>Наименьший средний чек. Отрицательный ROI, канал убыточен. </v>
      </c>
    </row>
    <row r="24">
      <c r="A24" s="19" t="s">
        <v>73</v>
      </c>
      <c r="B24" s="20">
        <v>826.0</v>
      </c>
      <c r="C24" s="20"/>
      <c r="D24" s="20"/>
      <c r="E24" s="20"/>
      <c r="F24" s="20">
        <v>6.0</v>
      </c>
      <c r="G24" s="20">
        <v>5.0</v>
      </c>
      <c r="H24" s="20">
        <v>7314.0</v>
      </c>
      <c r="I24" s="20">
        <f t="shared" si="12"/>
        <v>1097.1</v>
      </c>
      <c r="J24" s="21" t="str">
        <f t="shared" si="2"/>
        <v/>
      </c>
      <c r="K24" s="21" t="str">
        <f t="shared" si="3"/>
        <v/>
      </c>
      <c r="L24" s="21" t="str">
        <f t="shared" si="4"/>
        <v/>
      </c>
      <c r="M24" s="21">
        <f t="shared" si="5"/>
        <v>137.6666667</v>
      </c>
      <c r="N24" s="22" t="str">
        <f t="shared" si="6"/>
        <v/>
      </c>
      <c r="O24" s="22">
        <f t="shared" si="7"/>
        <v>0.1666666667</v>
      </c>
      <c r="P24" s="21">
        <f t="shared" si="8"/>
        <v>1462.8</v>
      </c>
      <c r="Q24" s="22">
        <f t="shared" si="9"/>
        <v>0.3282082324</v>
      </c>
      <c r="R24" s="22">
        <f t="shared" si="10"/>
        <v>1.414878624</v>
      </c>
      <c r="S24" s="40" t="str">
        <f t="shared" si="11"/>
        <v>Лучший ROI. Наименьший процент отказа. </v>
      </c>
    </row>
    <row r="25">
      <c r="A25" s="19" t="s">
        <v>74</v>
      </c>
      <c r="B25" s="20">
        <v>2400.0</v>
      </c>
      <c r="C25" s="20">
        <v>2.0</v>
      </c>
      <c r="D25" s="20"/>
      <c r="E25" s="20"/>
      <c r="F25" s="20"/>
      <c r="G25" s="20"/>
      <c r="H25" s="20"/>
      <c r="I25" s="20"/>
      <c r="J25" s="21">
        <f t="shared" si="2"/>
        <v>1200</v>
      </c>
      <c r="K25" s="21" t="str">
        <f t="shared" si="3"/>
        <v/>
      </c>
      <c r="L25" s="21" t="str">
        <f t="shared" si="4"/>
        <v/>
      </c>
      <c r="M25" s="21" t="str">
        <f t="shared" si="5"/>
        <v/>
      </c>
      <c r="N25" s="22">
        <f t="shared" si="6"/>
        <v>0</v>
      </c>
      <c r="O25" s="22" t="str">
        <f t="shared" si="7"/>
        <v/>
      </c>
      <c r="P25" s="21" t="str">
        <f t="shared" si="8"/>
        <v/>
      </c>
      <c r="Q25" s="22">
        <f t="shared" si="9"/>
        <v>-1</v>
      </c>
      <c r="R25" s="22">
        <f t="shared" si="10"/>
        <v>-1</v>
      </c>
      <c r="S25" s="40" t="str">
        <f t="shared" si="11"/>
        <v>Худшая конверсия. Худший ROI. Отрицательный ROI, канал убыточен. </v>
      </c>
    </row>
    <row r="26">
      <c r="A26" s="19" t="s">
        <v>75</v>
      </c>
      <c r="B26" s="20">
        <v>2000.0</v>
      </c>
      <c r="C26" s="20">
        <v>5.0</v>
      </c>
      <c r="D26" s="24"/>
      <c r="E26" s="24"/>
      <c r="F26" s="20"/>
      <c r="G26" s="20"/>
      <c r="H26" s="20"/>
      <c r="I26" s="20"/>
      <c r="J26" s="21">
        <f t="shared" si="2"/>
        <v>400</v>
      </c>
      <c r="K26" s="21" t="str">
        <f t="shared" si="3"/>
        <v/>
      </c>
      <c r="L26" s="21" t="str">
        <f t="shared" si="4"/>
        <v/>
      </c>
      <c r="M26" s="21" t="str">
        <f t="shared" si="5"/>
        <v/>
      </c>
      <c r="N26" s="22">
        <f t="shared" si="6"/>
        <v>0</v>
      </c>
      <c r="O26" s="22" t="str">
        <f t="shared" si="7"/>
        <v/>
      </c>
      <c r="P26" s="21" t="str">
        <f t="shared" si="8"/>
        <v/>
      </c>
      <c r="Q26" s="22">
        <f t="shared" si="9"/>
        <v>-1</v>
      </c>
      <c r="R26" s="22">
        <f t="shared" si="10"/>
        <v>-1</v>
      </c>
      <c r="S26" s="40" t="str">
        <f t="shared" si="11"/>
        <v>Худшая конверсия. Худший ROI. Отрицательный ROI, канал убыточен. </v>
      </c>
    </row>
    <row r="27">
      <c r="A27" s="19" t="s">
        <v>76</v>
      </c>
      <c r="B27" s="20">
        <v>4800.0</v>
      </c>
      <c r="C27" s="20">
        <v>127.0</v>
      </c>
      <c r="D27" s="24"/>
      <c r="E27" s="24"/>
      <c r="F27" s="20">
        <v>4.0</v>
      </c>
      <c r="G27" s="20">
        <v>3.0</v>
      </c>
      <c r="H27" s="20">
        <v>3537.0</v>
      </c>
      <c r="I27" s="20">
        <f t="shared" ref="I27:I28" si="13">H27*0.15</f>
        <v>530.55</v>
      </c>
      <c r="J27" s="21">
        <f t="shared" si="2"/>
        <v>37.79527559</v>
      </c>
      <c r="K27" s="21" t="str">
        <f t="shared" si="3"/>
        <v/>
      </c>
      <c r="L27" s="21" t="str">
        <f t="shared" si="4"/>
        <v/>
      </c>
      <c r="M27" s="21">
        <f t="shared" si="5"/>
        <v>1200</v>
      </c>
      <c r="N27" s="22">
        <f t="shared" si="6"/>
        <v>0.02362204724</v>
      </c>
      <c r="O27" s="22">
        <f t="shared" si="7"/>
        <v>0.25</v>
      </c>
      <c r="P27" s="21">
        <f t="shared" si="8"/>
        <v>1179</v>
      </c>
      <c r="Q27" s="22">
        <f t="shared" si="9"/>
        <v>-0.88946875</v>
      </c>
      <c r="R27" s="22">
        <f t="shared" si="10"/>
        <v>-0.7990378719</v>
      </c>
      <c r="S27" s="40" t="str">
        <f t="shared" si="11"/>
        <v>Лучшая конверсия. Отрицательный ROI, канал убыточен. </v>
      </c>
    </row>
    <row r="28">
      <c r="A28" s="19" t="s">
        <v>50</v>
      </c>
      <c r="B28" s="20"/>
      <c r="C28" s="20">
        <v>928.0</v>
      </c>
      <c r="D28" s="24"/>
      <c r="E28" s="24"/>
      <c r="F28" s="20">
        <v>11.0</v>
      </c>
      <c r="G28" s="20">
        <v>8.0</v>
      </c>
      <c r="H28" s="20">
        <v>15220.0</v>
      </c>
      <c r="I28" s="20">
        <f t="shared" si="13"/>
        <v>2283</v>
      </c>
      <c r="J28" s="21">
        <f t="shared" si="2"/>
        <v>0</v>
      </c>
      <c r="K28" s="21" t="str">
        <f t="shared" si="3"/>
        <v/>
      </c>
      <c r="L28" s="21" t="str">
        <f t="shared" si="4"/>
        <v/>
      </c>
      <c r="M28" s="21">
        <f t="shared" si="5"/>
        <v>0</v>
      </c>
      <c r="N28" s="22">
        <f t="shared" si="6"/>
        <v>0.008620689655</v>
      </c>
      <c r="O28" s="22">
        <f t="shared" si="7"/>
        <v>0.2727272727</v>
      </c>
      <c r="P28" s="21">
        <f t="shared" si="8"/>
        <v>1902.5</v>
      </c>
      <c r="Q28" s="22" t="str">
        <f t="shared" si="9"/>
        <v/>
      </c>
      <c r="R28" s="22" t="str">
        <f t="shared" ref="R28:R29" si="15">if(B28&gt;0,(I28-B28)/B28,"")</f>
        <v/>
      </c>
      <c r="S28" s="23" t="str">
        <f t="shared" si="11"/>
        <v/>
      </c>
    </row>
    <row r="29">
      <c r="A29" s="13" t="s">
        <v>51</v>
      </c>
      <c r="B29" s="26">
        <f t="shared" ref="B29:I29" si="14">sum(B20:B28)</f>
        <v>66003</v>
      </c>
      <c r="C29" s="26">
        <f t="shared" si="14"/>
        <v>3729</v>
      </c>
      <c r="D29" s="26">
        <f t="shared" si="14"/>
        <v>0</v>
      </c>
      <c r="E29" s="26">
        <f t="shared" si="14"/>
        <v>0</v>
      </c>
      <c r="F29" s="26">
        <f t="shared" si="14"/>
        <v>28</v>
      </c>
      <c r="G29" s="26">
        <f t="shared" si="14"/>
        <v>21</v>
      </c>
      <c r="H29" s="26">
        <f t="shared" si="14"/>
        <v>33823</v>
      </c>
      <c r="I29" s="26">
        <f t="shared" si="14"/>
        <v>5073.45</v>
      </c>
      <c r="J29" s="21">
        <f t="shared" si="2"/>
        <v>17.69991955</v>
      </c>
      <c r="K29" s="21" t="str">
        <f t="shared" si="3"/>
        <v/>
      </c>
      <c r="L29" s="21" t="str">
        <f t="shared" si="4"/>
        <v/>
      </c>
      <c r="M29" s="21">
        <f t="shared" si="5"/>
        <v>2357.25</v>
      </c>
      <c r="N29" s="22">
        <f t="shared" si="6"/>
        <v>0.005631536605</v>
      </c>
      <c r="O29" s="22">
        <f t="shared" si="7"/>
        <v>0.25</v>
      </c>
      <c r="P29" s="21">
        <f t="shared" si="8"/>
        <v>1610.619048</v>
      </c>
      <c r="Q29" s="22">
        <f t="shared" si="9"/>
        <v>-0.9231330394</v>
      </c>
      <c r="R29" s="22">
        <f t="shared" si="15"/>
        <v>-0.9231330394</v>
      </c>
      <c r="S29" s="27"/>
    </row>
    <row r="33">
      <c r="A33" s="1" t="s">
        <v>52</v>
      </c>
      <c r="B33" s="9"/>
      <c r="D33" s="9"/>
      <c r="E33" s="9"/>
    </row>
    <row r="34">
      <c r="A34" s="28" t="s">
        <v>53</v>
      </c>
      <c r="N34" s="9"/>
      <c r="P34" s="9"/>
      <c r="Q34" s="9"/>
    </row>
    <row r="35">
      <c r="A35" s="28" t="s">
        <v>54</v>
      </c>
      <c r="M35" s="9"/>
    </row>
    <row r="36">
      <c r="A36" s="28" t="s">
        <v>55</v>
      </c>
    </row>
    <row r="37">
      <c r="A37" s="28" t="s">
        <v>56</v>
      </c>
    </row>
    <row r="38">
      <c r="A38" s="9"/>
    </row>
    <row r="39">
      <c r="A39" s="9" t="s">
        <v>57</v>
      </c>
      <c r="C39" s="29" t="s">
        <v>58</v>
      </c>
    </row>
    <row r="40">
      <c r="A40" s="9" t="s">
        <v>59</v>
      </c>
    </row>
    <row r="41">
      <c r="A41" s="30"/>
    </row>
    <row r="42">
      <c r="A42" s="31">
        <v>1.0</v>
      </c>
      <c r="B42" s="32" t="str">
        <f>HYPERLINK("http://www.intervolga.ru/blog/thoughts/eshop-okupaemost-internet-magazina/","Прогнозная модель окупаемости интернет-магазина")</f>
        <v>Прогнозная модель окупаемости интернет-магазина</v>
      </c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>
      <c r="A43" s="34"/>
      <c r="B43" s="35" t="s">
        <v>60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>
      <c r="A44" s="34"/>
      <c r="B44" s="35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>
      <c r="A45" s="31">
        <v>2.0</v>
      </c>
      <c r="B45" s="32" t="str">
        <f>HYPERLINK("http://www.intervolga.ru/blog/thoughts/ya-znayu-kakaya-polovina-trat-na-reklamu-raskhoduetsya-zrya/","Я знаю, какая половина трат на рекламу расходуется зря.")</f>
        <v>Я знаю, какая половина трат на рекламу расходуется зря.</v>
      </c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>
      <c r="A46" s="34"/>
      <c r="B46" s="36" t="s">
        <v>61</v>
      </c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>
      <c r="A47" s="31"/>
      <c r="B47" s="35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>
      <c r="A48" s="31">
        <v>3.0</v>
      </c>
      <c r="B48" s="32" t="str">
        <f>HYPERLINK("http://www.intervolga.ru/blog/thoughts/kakaya-polovina-reklamy-ne-rabotaet-pomoshchnik-izmereniya-konversii-dlya-internet-magazinov-1s-bitr/","Какая половина рекламы не работает. Измеритель конверсии для интернет-магазинов 1С-Битрикс. Что, как и зачем?.")</f>
        <v>Какая половина рекламы не работает. Измеритель конверсии для интернет-магазинов 1С-Битрикс. Что, как и зачем?.</v>
      </c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>
      <c r="A49" s="34"/>
      <c r="B49" s="35" t="s">
        <v>62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>
      <c r="A50" s="34"/>
      <c r="B50" s="36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>
      <c r="A51" s="31">
        <v>4.0</v>
      </c>
      <c r="B51" s="37" t="str">
        <f>HYPERLINK("http://www.intervolga.ru/blog/thoughts/nastroyka-tseley-dlya-otslezhivaniya-konversii-magazina-na-1s-bitriks-v-google-analytics-i-yandeks-m/","Настройка целей для отслеживания конверсии магазина на 1С-Битрикс в Google Analytics и Яндекс.Метрике")</f>
        <v>Настройка целей для отслеживания конверсии магазина на 1С-Битрикс в Google Analytics и Яндекс.Метрике</v>
      </c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>
      <c r="A52" s="34"/>
      <c r="B52" s="37" t="str">
        <f>HYPERLINK("http://www.intervolga.ru/blog/thoughts/video-pro-nastroyku-tseley-dlya-otslezhivaniya-konversii-magazina-na-1s-bitriks-v-google-analytics-i/","Видео по настройке целей.")</f>
        <v>Видео по настройке целей.</v>
      </c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>
      <c r="A53" s="34"/>
      <c r="B53" s="35" t="s">
        <v>63</v>
      </c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>
      <c r="A54" s="31"/>
      <c r="B54" s="35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>
      <c r="A55" s="31">
        <v>5.0</v>
      </c>
      <c r="B55" s="32" t="str">
        <f>HYPERLINK("http://www.intervolga.ru/blog/thoughts/eshop-dohod-calculator/","Калькулятор доходности интернет-магазина ")</f>
        <v>Калькулятор доходности интернет-магазина </v>
      </c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>
      <c r="A56" s="34"/>
      <c r="B56" s="36" t="s">
        <v>64</v>
      </c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>
      <c r="A58" s="28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</sheetData>
  <mergeCells count="22">
    <mergeCell ref="J17:R17"/>
    <mergeCell ref="J18:M18"/>
    <mergeCell ref="Q18:R18"/>
    <mergeCell ref="N18:P18"/>
    <mergeCell ref="B17:I17"/>
    <mergeCell ref="B1:D1"/>
    <mergeCell ref="B2:D2"/>
    <mergeCell ref="B49:L49"/>
    <mergeCell ref="B51:L51"/>
    <mergeCell ref="B53:L53"/>
    <mergeCell ref="B52:L52"/>
    <mergeCell ref="B56:L56"/>
    <mergeCell ref="B55:L55"/>
    <mergeCell ref="B48:L48"/>
    <mergeCell ref="A34:L34"/>
    <mergeCell ref="A35:L35"/>
    <mergeCell ref="A36:L36"/>
    <mergeCell ref="A37:L37"/>
    <mergeCell ref="B45:L45"/>
    <mergeCell ref="B42:L42"/>
    <mergeCell ref="B43:L43"/>
    <mergeCell ref="B46:L46"/>
  </mergeCells>
  <conditionalFormatting sqref="S20:S29">
    <cfRule type="containsText" dxfId="0" priority="1" operator="containsText" text="Лучший ROI">
      <formula>NOT(ISERROR(SEARCH(("Лучший ROI"),(S20))))</formula>
    </cfRule>
  </conditionalFormatting>
  <conditionalFormatting sqref="S20:S29">
    <cfRule type="containsText" dxfId="1" priority="2" operator="containsText" text="Худший ROI">
      <formula>NOT(ISERROR(SEARCH(("Худший ROI"),(S20))))</formula>
    </cfRule>
  </conditionalFormatting>
  <hyperlinks>
    <hyperlink r:id="rId1" ref="C39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63"/>
    <col customWidth="1" min="2" max="2" width="7.88"/>
    <col customWidth="1" min="3" max="3" width="7.63"/>
    <col customWidth="1" min="4" max="4" width="8.13"/>
    <col customWidth="1" min="5" max="5" width="7.75"/>
    <col customWidth="1" min="6" max="6" width="7.5"/>
    <col customWidth="1" min="7" max="7" width="7.63"/>
    <col customWidth="1" min="8" max="8" width="7.0"/>
    <col customWidth="1" min="9" max="9" width="9.13"/>
    <col customWidth="1" min="10" max="10" width="6.38"/>
    <col customWidth="1" min="11" max="13" width="8.63"/>
    <col customWidth="1" min="14" max="14" width="9.63"/>
    <col customWidth="1" min="15" max="15" width="9.13"/>
    <col customWidth="1" min="16" max="16" width="7.75"/>
    <col customWidth="1" min="17" max="17" width="6.88"/>
    <col customWidth="1" min="18" max="18" width="7.38"/>
    <col customWidth="1" min="19" max="19" width="28.75"/>
    <col customWidth="1" min="20" max="28" width="9.75"/>
  </cols>
  <sheetData>
    <row r="1">
      <c r="A1" s="1" t="s">
        <v>0</v>
      </c>
      <c r="B1" s="41" t="s">
        <v>77</v>
      </c>
      <c r="F1" s="1" t="s">
        <v>1</v>
      </c>
      <c r="G1" s="3">
        <f>R26</f>
        <v>0.6165375886</v>
      </c>
      <c r="H1" s="4" t="str">
        <f>if(G1&lt;0,"Рекламная кампания убыточна",if(G1&lt;1,"Прибыль незначительна","Хорошая окупаемость"))</f>
        <v>Прибыль незначительна</v>
      </c>
      <c r="I1" s="5"/>
      <c r="J1" s="5"/>
    </row>
    <row r="2">
      <c r="A2" s="1" t="s">
        <v>2</v>
      </c>
      <c r="B2" s="41" t="s">
        <v>78</v>
      </c>
    </row>
    <row r="4">
      <c r="A4" s="6" t="s">
        <v>3</v>
      </c>
      <c r="B4" s="7" t="s">
        <v>4</v>
      </c>
      <c r="D4" s="8" t="s">
        <v>5</v>
      </c>
      <c r="E4" s="9"/>
      <c r="F4" s="8" t="s">
        <v>6</v>
      </c>
      <c r="M4" s="42"/>
      <c r="N4" s="43"/>
    </row>
    <row r="5">
      <c r="A5" s="9" t="s">
        <v>7</v>
      </c>
      <c r="B5" s="10"/>
      <c r="D5" s="11">
        <f>C26</f>
        <v>5719</v>
      </c>
      <c r="E5" s="9"/>
      <c r="F5" s="12" t="str">
        <f t="shared" ref="F5:F11" si="1">if(B5&gt;0,D5/B5,"")</f>
        <v/>
      </c>
      <c r="M5" s="42"/>
      <c r="N5" s="43"/>
    </row>
    <row r="6">
      <c r="A6" s="9" t="s">
        <v>8</v>
      </c>
      <c r="B6" s="10"/>
      <c r="D6" s="11">
        <f>D26</f>
        <v>0</v>
      </c>
      <c r="E6" s="9"/>
      <c r="F6" s="12" t="str">
        <f t="shared" si="1"/>
        <v/>
      </c>
      <c r="M6" s="42"/>
      <c r="N6" s="43"/>
    </row>
    <row r="7">
      <c r="A7" s="9" t="s">
        <v>9</v>
      </c>
      <c r="B7" s="10"/>
      <c r="D7" s="11">
        <f>E26</f>
        <v>0</v>
      </c>
      <c r="E7" s="9"/>
      <c r="F7" s="12" t="str">
        <f t="shared" si="1"/>
        <v/>
      </c>
      <c r="M7" s="44"/>
      <c r="N7" s="43"/>
    </row>
    <row r="8">
      <c r="A8" s="9" t="s">
        <v>10</v>
      </c>
      <c r="B8" s="10"/>
      <c r="D8" s="11">
        <f>F26</f>
        <v>49</v>
      </c>
      <c r="E8" s="9"/>
      <c r="F8" s="12" t="str">
        <f t="shared" si="1"/>
        <v/>
      </c>
      <c r="M8" s="44"/>
      <c r="N8" s="43"/>
    </row>
    <row r="9">
      <c r="A9" s="9" t="s">
        <v>11</v>
      </c>
      <c r="B9" s="10"/>
      <c r="D9" s="11">
        <f>G26</f>
        <v>36</v>
      </c>
      <c r="E9" s="9"/>
      <c r="F9" s="12" t="str">
        <f t="shared" si="1"/>
        <v/>
      </c>
      <c r="M9" s="44"/>
      <c r="N9" s="43"/>
    </row>
    <row r="10">
      <c r="A10" s="9" t="s">
        <v>12</v>
      </c>
      <c r="B10" s="10">
        <v>1000000.0</v>
      </c>
      <c r="D10" s="11">
        <f>H26</f>
        <v>641029</v>
      </c>
      <c r="E10" s="9"/>
      <c r="F10" s="12">
        <f t="shared" si="1"/>
        <v>0.641029</v>
      </c>
    </row>
    <row r="11">
      <c r="A11" s="9" t="s">
        <v>13</v>
      </c>
      <c r="B11" s="10">
        <f>18%*B10</f>
        <v>180000</v>
      </c>
      <c r="D11" s="11">
        <f>I26</f>
        <v>115385.22</v>
      </c>
      <c r="E11" s="9"/>
      <c r="F11" s="12">
        <f t="shared" si="1"/>
        <v>0.641029</v>
      </c>
    </row>
    <row r="12">
      <c r="A12" s="9"/>
      <c r="B12" s="9"/>
      <c r="C12" s="9"/>
      <c r="D12" s="9"/>
    </row>
    <row r="13">
      <c r="A13" s="1" t="s">
        <v>14</v>
      </c>
      <c r="B13" s="9"/>
      <c r="C13" s="9"/>
      <c r="D13" s="9"/>
    </row>
    <row r="14">
      <c r="A14" s="9" t="s">
        <v>15</v>
      </c>
      <c r="B14" s="10">
        <v>80000.0</v>
      </c>
      <c r="C14" s="9"/>
      <c r="D14" s="11">
        <f>B26</f>
        <v>71378</v>
      </c>
      <c r="F14" s="12">
        <f>if(B14&gt;0,D14/B14,"")</f>
        <v>0.892225</v>
      </c>
    </row>
    <row r="15">
      <c r="A15" s="9"/>
      <c r="B15" s="9"/>
      <c r="C15" s="9"/>
      <c r="D15" s="9"/>
      <c r="R15" s="9"/>
    </row>
    <row r="16">
      <c r="A16" s="1" t="s">
        <v>16</v>
      </c>
      <c r="B16" s="9"/>
      <c r="C16" s="9"/>
      <c r="D16" s="9"/>
    </row>
    <row r="17">
      <c r="A17" s="13"/>
      <c r="B17" s="14" t="s">
        <v>17</v>
      </c>
      <c r="C17" s="15"/>
      <c r="D17" s="15"/>
      <c r="E17" s="15"/>
      <c r="F17" s="15"/>
      <c r="G17" s="15"/>
      <c r="H17" s="15"/>
      <c r="I17" s="16"/>
      <c r="J17" s="14" t="s">
        <v>18</v>
      </c>
      <c r="K17" s="15"/>
      <c r="L17" s="15"/>
      <c r="M17" s="15"/>
      <c r="N17" s="15"/>
      <c r="O17" s="15"/>
      <c r="P17" s="15"/>
      <c r="Q17" s="15"/>
      <c r="R17" s="16"/>
      <c r="S17" s="17" t="s">
        <v>19</v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>
      <c r="A18" s="13"/>
      <c r="B18" s="17"/>
      <c r="C18" s="17"/>
      <c r="D18" s="17"/>
      <c r="E18" s="17"/>
      <c r="F18" s="17"/>
      <c r="G18" s="17"/>
      <c r="H18" s="17"/>
      <c r="I18" s="17"/>
      <c r="J18" s="14" t="s">
        <v>20</v>
      </c>
      <c r="K18" s="15"/>
      <c r="L18" s="15"/>
      <c r="M18" s="16"/>
      <c r="N18" s="14"/>
      <c r="O18" s="15"/>
      <c r="P18" s="16"/>
      <c r="Q18" s="14" t="s">
        <v>1</v>
      </c>
      <c r="R18" s="16"/>
      <c r="S18" s="17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>
      <c r="A19" s="13" t="s">
        <v>21</v>
      </c>
      <c r="B19" s="17" t="s">
        <v>22</v>
      </c>
      <c r="C19" s="17" t="s">
        <v>23</v>
      </c>
      <c r="D19" s="17" t="s">
        <v>24</v>
      </c>
      <c r="E19" s="17" t="s">
        <v>25</v>
      </c>
      <c r="F19" s="17" t="s">
        <v>26</v>
      </c>
      <c r="G19" s="17" t="s">
        <v>27</v>
      </c>
      <c r="H19" s="17" t="s">
        <v>28</v>
      </c>
      <c r="I19" s="17" t="s">
        <v>13</v>
      </c>
      <c r="J19" s="17" t="s">
        <v>29</v>
      </c>
      <c r="K19" s="17" t="s">
        <v>30</v>
      </c>
      <c r="L19" s="17" t="s">
        <v>31</v>
      </c>
      <c r="M19" s="17" t="s">
        <v>32</v>
      </c>
      <c r="N19" s="17" t="s">
        <v>33</v>
      </c>
      <c r="O19" s="17" t="s">
        <v>34</v>
      </c>
      <c r="P19" s="17" t="s">
        <v>35</v>
      </c>
      <c r="Q19" s="17" t="s">
        <v>36</v>
      </c>
      <c r="R19" s="17" t="s">
        <v>37</v>
      </c>
      <c r="S19" s="17" t="s">
        <v>38</v>
      </c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>
      <c r="A20" s="19" t="s">
        <v>79</v>
      </c>
      <c r="B20" s="20">
        <v>28000.0</v>
      </c>
      <c r="C20" s="20">
        <v>5012.0</v>
      </c>
      <c r="D20" s="20"/>
      <c r="E20" s="20"/>
      <c r="F20" s="20">
        <v>21.0</v>
      </c>
      <c r="G20" s="20">
        <v>17.0</v>
      </c>
      <c r="H20" s="20">
        <v>306019.0</v>
      </c>
      <c r="I20" s="20">
        <f t="shared" ref="I20:I24" si="2">H20*18%</f>
        <v>55083.42</v>
      </c>
      <c r="J20" s="21">
        <f t="shared" ref="J20:J26" si="3">if(C20&gt;0,B20/C20,"")</f>
        <v>5.586592179</v>
      </c>
      <c r="K20" s="21" t="str">
        <f t="shared" ref="K20:K26" si="4">if(E20&gt;0,B20/E20,"")</f>
        <v/>
      </c>
      <c r="L20" s="21" t="str">
        <f t="shared" ref="L20:L26" si="5">if(D20&gt;0,B20/D20,"")</f>
        <v/>
      </c>
      <c r="M20" s="21">
        <f t="shared" ref="M20:M26" si="6">if(F20&gt;0,B20/F20,"")</f>
        <v>1333.333333</v>
      </c>
      <c r="N20" s="22">
        <f t="shared" ref="N20:N26" si="7">if(C20&gt;0,G20/C20,"")</f>
        <v>0.003391859537</v>
      </c>
      <c r="O20" s="22">
        <f t="shared" ref="O20:O26" si="8">if(F20&gt;0,(F20-G20)/F20,"")</f>
        <v>0.1904761905</v>
      </c>
      <c r="P20" s="21">
        <f t="shared" ref="P20:P26" si="9">if(G20&gt;0,H20/G20,"")</f>
        <v>18001.11765</v>
      </c>
      <c r="Q20" s="22">
        <f t="shared" ref="Q20:Q26" si="10">if(B20&gt;0,(I20-B20)/B20,"")</f>
        <v>0.967265</v>
      </c>
      <c r="R20" s="22">
        <f t="shared" ref="R20:R24" si="11">if(B20&gt;0,(I20*(1+I$25/(I$26-$I$25))-B20)/B20,"")</f>
        <v>1.640782337</v>
      </c>
      <c r="S20" s="23" t="str">
        <f t="shared" ref="S20:S25" si="12">CONCATENATE(if(N20=min(N$20:N$25),"Худшая конверсия. ",""),if(N20=max(N$20:N$25),"Лучшая конверсия. ",""),if(Q20=min(Q$20:Q$25),"Худший ROI. ",""),if(Q20=max(Q$20:Q$25),"Лучший ROI. ",""),if(P20=min(P$20:P$25),"Наименьший средний чек. ",""),if(P20=max(P$20:P$25),"Наибольший средний чек. ",""),if(O20=min(O$20:O$25),"Наименьший процент отказа. ",""),if(O20=max(O$20:O$25),"Наибольший процент отказа. ",""),if(Q20&lt;0,"Отрицательный ROI, канал убыточен. ",""))</f>
        <v>Худшая конверсия. </v>
      </c>
    </row>
    <row r="21">
      <c r="A21" s="38" t="s">
        <v>80</v>
      </c>
      <c r="B21" s="20">
        <v>19000.0</v>
      </c>
      <c r="C21" s="20">
        <v>347.0</v>
      </c>
      <c r="D21" s="20"/>
      <c r="E21" s="20"/>
      <c r="F21" s="20">
        <v>6.0</v>
      </c>
      <c r="G21" s="20">
        <v>4.0</v>
      </c>
      <c r="H21" s="20">
        <v>81112.0</v>
      </c>
      <c r="I21" s="20">
        <f t="shared" si="2"/>
        <v>14600.16</v>
      </c>
      <c r="J21" s="21">
        <f t="shared" si="3"/>
        <v>54.75504323</v>
      </c>
      <c r="K21" s="21" t="str">
        <f t="shared" si="4"/>
        <v/>
      </c>
      <c r="L21" s="21" t="str">
        <f t="shared" si="5"/>
        <v/>
      </c>
      <c r="M21" s="21">
        <f t="shared" si="6"/>
        <v>3166.666667</v>
      </c>
      <c r="N21" s="22">
        <f t="shared" si="7"/>
        <v>0.01152737752</v>
      </c>
      <c r="O21" s="22">
        <f t="shared" si="8"/>
        <v>0.3333333333</v>
      </c>
      <c r="P21" s="21">
        <f t="shared" si="9"/>
        <v>20278</v>
      </c>
      <c r="Q21" s="22">
        <f t="shared" si="10"/>
        <v>-0.2315705263</v>
      </c>
      <c r="R21" s="22">
        <f t="shared" si="11"/>
        <v>0.03151074278</v>
      </c>
      <c r="S21" s="23" t="str">
        <f t="shared" si="12"/>
        <v>Отрицательный ROI, канал убыточен. </v>
      </c>
    </row>
    <row r="22">
      <c r="A22" s="19" t="s">
        <v>81</v>
      </c>
      <c r="B22" s="20">
        <v>2000.0</v>
      </c>
      <c r="C22" s="20">
        <v>86.0</v>
      </c>
      <c r="D22" s="20"/>
      <c r="E22" s="20"/>
      <c r="F22" s="20">
        <v>3.0</v>
      </c>
      <c r="G22" s="20">
        <v>2.0</v>
      </c>
      <c r="H22" s="20">
        <v>42385.0</v>
      </c>
      <c r="I22" s="20">
        <f t="shared" si="2"/>
        <v>7629.3</v>
      </c>
      <c r="J22" s="21">
        <f t="shared" si="3"/>
        <v>23.25581395</v>
      </c>
      <c r="K22" s="21" t="str">
        <f t="shared" si="4"/>
        <v/>
      </c>
      <c r="L22" s="21" t="str">
        <f t="shared" si="5"/>
        <v/>
      </c>
      <c r="M22" s="21">
        <f t="shared" si="6"/>
        <v>666.6666667</v>
      </c>
      <c r="N22" s="22">
        <f t="shared" si="7"/>
        <v>0.02325581395</v>
      </c>
      <c r="O22" s="22">
        <f t="shared" si="8"/>
        <v>0.3333333333</v>
      </c>
      <c r="P22" s="21">
        <f t="shared" si="9"/>
        <v>21192.5</v>
      </c>
      <c r="Q22" s="22">
        <f t="shared" si="10"/>
        <v>2.81465</v>
      </c>
      <c r="R22" s="22">
        <f t="shared" si="11"/>
        <v>4.120642284</v>
      </c>
      <c r="S22" s="23" t="str">
        <f t="shared" si="12"/>
        <v>Лучшая конверсия. Лучший ROI. Наибольший средний чек. </v>
      </c>
    </row>
    <row r="23">
      <c r="A23" s="19" t="s">
        <v>82</v>
      </c>
      <c r="B23" s="20">
        <v>10034.0</v>
      </c>
      <c r="C23" s="20">
        <v>170.0</v>
      </c>
      <c r="D23" s="20"/>
      <c r="E23" s="20"/>
      <c r="F23" s="20">
        <v>2.0</v>
      </c>
      <c r="G23" s="20">
        <v>2.0</v>
      </c>
      <c r="H23" s="20">
        <v>29023.0</v>
      </c>
      <c r="I23" s="20">
        <f t="shared" si="2"/>
        <v>5224.14</v>
      </c>
      <c r="J23" s="21">
        <f t="shared" si="3"/>
        <v>59.02352941</v>
      </c>
      <c r="K23" s="21" t="str">
        <f t="shared" si="4"/>
        <v/>
      </c>
      <c r="L23" s="21" t="str">
        <f t="shared" si="5"/>
        <v/>
      </c>
      <c r="M23" s="21">
        <f t="shared" si="6"/>
        <v>5017</v>
      </c>
      <c r="N23" s="22">
        <f t="shared" si="7"/>
        <v>0.01176470588</v>
      </c>
      <c r="O23" s="22">
        <f t="shared" si="8"/>
        <v>0</v>
      </c>
      <c r="P23" s="21">
        <f t="shared" si="9"/>
        <v>14511.5</v>
      </c>
      <c r="Q23" s="22">
        <f t="shared" si="10"/>
        <v>-0.479356189</v>
      </c>
      <c r="R23" s="22">
        <f t="shared" si="11"/>
        <v>-0.3011073851</v>
      </c>
      <c r="S23" s="23" t="str">
        <f t="shared" si="12"/>
        <v>Наименьший средний чек. Наименьший процент отказа. Отрицательный ROI, канал убыточен. </v>
      </c>
    </row>
    <row r="24">
      <c r="A24" s="19" t="s">
        <v>83</v>
      </c>
      <c r="B24" s="20">
        <v>12344.0</v>
      </c>
      <c r="C24" s="20">
        <v>104.0</v>
      </c>
      <c r="D24" s="20"/>
      <c r="E24" s="20"/>
      <c r="F24" s="20">
        <v>1.0</v>
      </c>
      <c r="G24" s="20">
        <v>1.0</v>
      </c>
      <c r="H24" s="20">
        <v>18999.0</v>
      </c>
      <c r="I24" s="20">
        <f t="shared" si="2"/>
        <v>3419.82</v>
      </c>
      <c r="J24" s="21">
        <f t="shared" si="3"/>
        <v>118.6923077</v>
      </c>
      <c r="K24" s="21" t="str">
        <f t="shared" si="4"/>
        <v/>
      </c>
      <c r="L24" s="21" t="str">
        <f t="shared" si="5"/>
        <v/>
      </c>
      <c r="M24" s="21">
        <f t="shared" si="6"/>
        <v>12344</v>
      </c>
      <c r="N24" s="22">
        <f t="shared" si="7"/>
        <v>0.009615384615</v>
      </c>
      <c r="O24" s="22">
        <f t="shared" si="8"/>
        <v>0</v>
      </c>
      <c r="P24" s="21">
        <f t="shared" si="9"/>
        <v>18999</v>
      </c>
      <c r="Q24" s="22">
        <f t="shared" si="10"/>
        <v>-0.7229569021</v>
      </c>
      <c r="R24" s="22">
        <f t="shared" si="11"/>
        <v>-0.6281077946</v>
      </c>
      <c r="S24" s="23" t="str">
        <f t="shared" si="12"/>
        <v>Худший ROI. Наименьший процент отказа. Отрицательный ROI, канал убыточен. </v>
      </c>
    </row>
    <row r="25">
      <c r="A25" s="19" t="s">
        <v>50</v>
      </c>
      <c r="B25" s="20"/>
      <c r="C25" s="24"/>
      <c r="D25" s="24"/>
      <c r="E25" s="24"/>
      <c r="F25" s="20">
        <v>16.0</v>
      </c>
      <c r="G25" s="20">
        <v>10.0</v>
      </c>
      <c r="H25" s="20">
        <v>163491.0</v>
      </c>
      <c r="I25" s="20">
        <f>H25*0.18</f>
        <v>29428.38</v>
      </c>
      <c r="J25" s="21" t="str">
        <f t="shared" si="3"/>
        <v/>
      </c>
      <c r="K25" s="21" t="str">
        <f t="shared" si="4"/>
        <v/>
      </c>
      <c r="L25" s="21" t="str">
        <f t="shared" si="5"/>
        <v/>
      </c>
      <c r="M25" s="21">
        <f t="shared" si="6"/>
        <v>0</v>
      </c>
      <c r="N25" s="22" t="str">
        <f t="shared" si="7"/>
        <v/>
      </c>
      <c r="O25" s="22">
        <f t="shared" si="8"/>
        <v>0.375</v>
      </c>
      <c r="P25" s="21">
        <f t="shared" si="9"/>
        <v>16349.1</v>
      </c>
      <c r="Q25" s="22" t="str">
        <f t="shared" si="10"/>
        <v/>
      </c>
      <c r="R25" s="22" t="str">
        <f t="shared" ref="R25:R26" si="14">if(B25&gt;0,(I25-B25)/B25,"")</f>
        <v/>
      </c>
      <c r="S25" s="23" t="str">
        <f t="shared" si="12"/>
        <v>Наибольший процент отказа. </v>
      </c>
    </row>
    <row r="26">
      <c r="A26" s="13" t="s">
        <v>51</v>
      </c>
      <c r="B26" s="26">
        <f t="shared" ref="B26:I26" si="13">sum(B20:B25)</f>
        <v>71378</v>
      </c>
      <c r="C26" s="26">
        <f t="shared" si="13"/>
        <v>5719</v>
      </c>
      <c r="D26" s="26">
        <f t="shared" si="13"/>
        <v>0</v>
      </c>
      <c r="E26" s="26">
        <f t="shared" si="13"/>
        <v>0</v>
      </c>
      <c r="F26" s="26">
        <f t="shared" si="13"/>
        <v>49</v>
      </c>
      <c r="G26" s="26">
        <f t="shared" si="13"/>
        <v>36</v>
      </c>
      <c r="H26" s="26">
        <f t="shared" si="13"/>
        <v>641029</v>
      </c>
      <c r="I26" s="26">
        <f t="shared" si="13"/>
        <v>115385.22</v>
      </c>
      <c r="J26" s="21">
        <f t="shared" si="3"/>
        <v>12.4808533</v>
      </c>
      <c r="K26" s="21" t="str">
        <f t="shared" si="4"/>
        <v/>
      </c>
      <c r="L26" s="21" t="str">
        <f t="shared" si="5"/>
        <v/>
      </c>
      <c r="M26" s="21">
        <f t="shared" si="6"/>
        <v>1456.693878</v>
      </c>
      <c r="N26" s="22">
        <f t="shared" si="7"/>
        <v>0.006294806784</v>
      </c>
      <c r="O26" s="22">
        <f t="shared" si="8"/>
        <v>0.2653061224</v>
      </c>
      <c r="P26" s="21">
        <f t="shared" si="9"/>
        <v>17806.36111</v>
      </c>
      <c r="Q26" s="22">
        <f t="shared" si="10"/>
        <v>0.6165375886</v>
      </c>
      <c r="R26" s="22">
        <f t="shared" si="14"/>
        <v>0.6165375886</v>
      </c>
      <c r="S26" s="27"/>
    </row>
    <row r="30">
      <c r="A30" s="1" t="s">
        <v>52</v>
      </c>
      <c r="B30" s="9"/>
      <c r="D30" s="9"/>
      <c r="E30" s="9"/>
    </row>
    <row r="31">
      <c r="A31" s="28" t="s">
        <v>53</v>
      </c>
      <c r="N31" s="9"/>
      <c r="P31" s="9"/>
      <c r="Q31" s="9"/>
    </row>
    <row r="32">
      <c r="A32" s="28" t="s">
        <v>54</v>
      </c>
      <c r="M32" s="9"/>
    </row>
    <row r="33">
      <c r="A33" s="28" t="s">
        <v>55</v>
      </c>
    </row>
    <row r="34">
      <c r="A34" s="28" t="s">
        <v>56</v>
      </c>
    </row>
    <row r="35">
      <c r="A35" s="9"/>
    </row>
    <row r="36">
      <c r="A36" s="9" t="s">
        <v>57</v>
      </c>
      <c r="C36" s="29" t="s">
        <v>58</v>
      </c>
    </row>
    <row r="37">
      <c r="A37" s="9" t="s">
        <v>59</v>
      </c>
    </row>
    <row r="38">
      <c r="A38" s="30"/>
    </row>
    <row r="39">
      <c r="A39" s="31">
        <v>1.0</v>
      </c>
      <c r="B39" s="32" t="str">
        <f>HYPERLINK("http://www.intervolga.ru/blog/thoughts/eshop-okupaemost-internet-magazina/","Прогнозная модель окупаемости интернет-магазина")</f>
        <v>Прогнозная модель окупаемости интернет-магазина</v>
      </c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>
      <c r="A40" s="34"/>
      <c r="B40" s="35" t="s">
        <v>60</v>
      </c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>
      <c r="A41" s="34"/>
      <c r="B41" s="35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>
      <c r="A42" s="31">
        <v>2.0</v>
      </c>
      <c r="B42" s="32" t="str">
        <f>HYPERLINK("http://www.intervolga.ru/blog/thoughts/ya-znayu-kakaya-polovina-trat-na-reklamu-raskhoduetsya-zrya/","Я знаю, какая половина трат на рекламу расходуется зря.")</f>
        <v>Я знаю, какая половина трат на рекламу расходуется зря.</v>
      </c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>
      <c r="A43" s="34"/>
      <c r="B43" s="36" t="s">
        <v>61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>
      <c r="A44" s="31"/>
      <c r="B44" s="35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>
      <c r="A45" s="31">
        <v>3.0</v>
      </c>
      <c r="B45" s="32" t="str">
        <f>HYPERLINK("http://www.intervolga.ru/blog/thoughts/kakaya-polovina-reklamy-ne-rabotaet-pomoshchnik-izmereniya-konversii-dlya-internet-magazinov-1s-bitr/","Какая половина рекламы не работает. Измеритель конверсии для интернет-магазинов 1С-Битрикс. Что, как и зачем?.")</f>
        <v>Какая половина рекламы не работает. Измеритель конверсии для интернет-магазинов 1С-Битрикс. Что, как и зачем?.</v>
      </c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>
      <c r="A46" s="34"/>
      <c r="B46" s="35" t="s">
        <v>62</v>
      </c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>
      <c r="A47" s="34"/>
      <c r="B47" s="36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>
      <c r="A48" s="31">
        <v>4.0</v>
      </c>
      <c r="B48" s="37" t="str">
        <f>HYPERLINK("http://www.intervolga.ru/blog/thoughts/nastroyka-tseley-dlya-otslezhivaniya-konversii-magazina-na-1s-bitriks-v-google-analytics-i-yandeks-m/","Настройка целей для отслеживания конверсии магазина на 1С-Битрикс в Google Analytics и Яндекс.Метрике")</f>
        <v>Настройка целей для отслеживания конверсии магазина на 1С-Битрикс в Google Analytics и Яндекс.Метрике</v>
      </c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>
      <c r="A49" s="34"/>
      <c r="B49" s="37" t="str">
        <f>HYPERLINK("http://www.intervolga.ru/blog/thoughts/video-pro-nastroyku-tseley-dlya-otslezhivaniya-konversii-magazina-na-1s-bitriks-v-google-analytics-i/","Видео по настройке целей.")</f>
        <v>Видео по настройке целей.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>
      <c r="A50" s="34"/>
      <c r="B50" s="35" t="s">
        <v>63</v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>
      <c r="A51" s="31"/>
      <c r="B51" s="35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>
      <c r="A52" s="31">
        <v>5.0</v>
      </c>
      <c r="B52" s="32" t="str">
        <f>HYPERLINK("http://www.intervolga.ru/blog/thoughts/eshop-dohod-calculator/","Калькулятор доходности интернет-магазина ")</f>
        <v>Калькулятор доходности интернет-магазина </v>
      </c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>
      <c r="A53" s="34"/>
      <c r="B53" s="36" t="s">
        <v>64</v>
      </c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>
      <c r="A55" s="28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</sheetData>
  <mergeCells count="22">
    <mergeCell ref="J17:R17"/>
    <mergeCell ref="B17:I17"/>
    <mergeCell ref="B1:D1"/>
    <mergeCell ref="B2:D2"/>
    <mergeCell ref="J18:M18"/>
    <mergeCell ref="Q18:R18"/>
    <mergeCell ref="N18:P18"/>
    <mergeCell ref="A31:L31"/>
    <mergeCell ref="A32:L32"/>
    <mergeCell ref="A33:L33"/>
    <mergeCell ref="A34:L34"/>
    <mergeCell ref="B46:L46"/>
    <mergeCell ref="B48:L48"/>
    <mergeCell ref="B50:L50"/>
    <mergeCell ref="B49:L49"/>
    <mergeCell ref="B53:L53"/>
    <mergeCell ref="B52:L52"/>
    <mergeCell ref="B43:L43"/>
    <mergeCell ref="B42:L42"/>
    <mergeCell ref="B39:L39"/>
    <mergeCell ref="B40:L40"/>
    <mergeCell ref="B45:L45"/>
  </mergeCells>
  <conditionalFormatting sqref="S20:S26">
    <cfRule type="containsText" dxfId="0" priority="1" operator="containsText" text="Лучший ROI">
      <formula>NOT(ISERROR(SEARCH(("Лучший ROI"),(S20))))</formula>
    </cfRule>
  </conditionalFormatting>
  <conditionalFormatting sqref="S20:S26">
    <cfRule type="containsText" dxfId="1" priority="2" operator="containsText" text="Худший ROI">
      <formula>NOT(ISERROR(SEARCH(("Худший ROI"),(S20))))</formula>
    </cfRule>
  </conditionalFormatting>
  <hyperlinks>
    <hyperlink r:id="rId1" ref="A21"/>
    <hyperlink r:id="rId2" ref="C36"/>
  </hyperlinks>
  <drawing r:id="rId3"/>
</worksheet>
</file>